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dotgov.sharepoint.com/sites/test640/Shared Documents/Surveying/"/>
    </mc:Choice>
  </mc:AlternateContent>
  <xr:revisionPtr revIDLastSave="6" documentId="8_{418126B9-B969-479F-8745-E7EBF772A6EC}" xr6:coauthVersionLast="47" xr6:coauthVersionMax="47" xr10:uidLastSave="{19340C36-D084-4743-AE5C-E8BE309E517D}"/>
  <workbookProtection workbookAlgorithmName="SHA-512" workbookHashValue="D/+9MyiE++FAUKwuCYsM0PqCVceO4XqEc3GuqBFplv8l/McJmMbNgGVDrGpY0C4lGjqikKNrd/980ygYCwLnQA==" workbookSaltValue="wC5mhnEcDhJuTkNYRb4h4g==" workbookSpinCount="100000" lockStructure="1"/>
  <bookViews>
    <workbookView xWindow="28680" yWindow="-120" windowWidth="29040" windowHeight="15840" xr2:uid="{5B35D950-D684-46C2-975F-4357EF51A9E2}"/>
  </bookViews>
  <sheets>
    <sheet name="Degree of Curve" sheetId="5" r:id="rId1"/>
    <sheet name="Radius" sheetId="4" r:id="rId2"/>
    <sheet name="Equations-Chord" sheetId="2" r:id="rId3"/>
    <sheet name="Equation-Arc" sheetId="3" r:id="rId4"/>
    <sheet name="Equations for Spirals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5" l="1"/>
  <c r="F21" i="5"/>
  <c r="F20" i="5"/>
  <c r="D21" i="5"/>
  <c r="D20" i="5"/>
  <c r="D13" i="5"/>
  <c r="D16" i="5"/>
  <c r="D35" i="5"/>
  <c r="D34" i="5"/>
  <c r="D33" i="5"/>
  <c r="D32" i="5"/>
  <c r="H35" i="5"/>
  <c r="H34" i="5"/>
  <c r="H33" i="5"/>
  <c r="H32" i="5"/>
  <c r="D31" i="5"/>
  <c r="H31" i="5"/>
  <c r="F23" i="5"/>
  <c r="E16" i="5"/>
  <c r="E7" i="5"/>
  <c r="AH111" i="5" s="1"/>
  <c r="AH100" i="5" s="1"/>
  <c r="F13" i="4"/>
  <c r="I16" i="4"/>
  <c r="I19" i="4" s="1"/>
  <c r="E9" i="4"/>
  <c r="I22" i="4" s="1"/>
  <c r="E19" i="4"/>
  <c r="I21" i="4" l="1"/>
  <c r="AH90" i="5"/>
  <c r="AH71" i="5"/>
  <c r="AH63" i="5" s="1"/>
  <c r="E20" i="5"/>
  <c r="E21" i="5" s="1"/>
  <c r="I29" i="5" s="1"/>
  <c r="N111" i="5"/>
  <c r="N100" i="5" s="1"/>
  <c r="E27" i="5"/>
  <c r="N115" i="5" s="1"/>
  <c r="I27" i="5"/>
  <c r="AH115" i="5" s="1"/>
  <c r="E23" i="4"/>
  <c r="E24" i="4" s="1"/>
  <c r="I23" i="4"/>
  <c r="I24" i="4" s="1"/>
  <c r="E18" i="4"/>
  <c r="F16" i="4" s="1"/>
  <c r="E21" i="4"/>
  <c r="E22" i="4" s="1"/>
  <c r="I18" i="4"/>
  <c r="J16" i="4" s="1"/>
  <c r="AH78" i="5" l="1"/>
  <c r="AH53" i="5" s="1"/>
  <c r="I31" i="5" s="1"/>
  <c r="E29" i="5"/>
  <c r="E30" i="5" s="1"/>
  <c r="N90" i="5"/>
  <c r="N71" i="5"/>
  <c r="N63" i="5" s="1"/>
  <c r="I30" i="5"/>
  <c r="I25" i="4"/>
  <c r="E25" i="4"/>
  <c r="J18" i="4"/>
  <c r="K16" i="4" s="1"/>
  <c r="K18" i="4" s="1"/>
  <c r="F18" i="4"/>
  <c r="G18" i="4" s="1"/>
  <c r="N78" i="5" l="1"/>
  <c r="N53" i="5" s="1"/>
  <c r="I32" i="5" l="1"/>
  <c r="I33" i="5" s="1"/>
  <c r="I34" i="5" s="1"/>
  <c r="I35" i="5" s="1"/>
  <c r="E31" i="5"/>
  <c r="E32" i="5" s="1"/>
  <c r="E33" i="5" s="1"/>
  <c r="E34" i="5" s="1"/>
  <c r="E35" i="5" s="1"/>
</calcChain>
</file>

<file path=xl/sharedStrings.xml><?xml version="1.0" encoding="utf-8"?>
<sst xmlns="http://schemas.openxmlformats.org/spreadsheetml/2006/main" count="113" uniqueCount="46">
  <si>
    <t>Degrees</t>
  </si>
  <si>
    <t>Minute</t>
  </si>
  <si>
    <t>Seconds</t>
  </si>
  <si>
    <t>Degree of Curve</t>
  </si>
  <si>
    <t xml:space="preserve">Degree of Curve </t>
  </si>
  <si>
    <r>
      <rPr>
        <sz val="14"/>
        <color theme="1"/>
        <rFont val="Calibri"/>
        <family val="2"/>
      </rPr>
      <t>∆</t>
    </r>
    <r>
      <rPr>
        <sz val="14"/>
        <color theme="1"/>
        <rFont val="Bookman Old Style"/>
        <family val="1"/>
      </rPr>
      <t xml:space="preserve"> = Defelection Angle = Delta</t>
    </r>
    <r>
      <rPr>
        <sz val="14"/>
        <color theme="1"/>
        <rFont val="Bookman Old Style"/>
        <family val="2"/>
      </rPr>
      <t xml:space="preserve"> = </t>
    </r>
  </si>
  <si>
    <r>
      <rPr>
        <sz val="14"/>
        <color theme="1"/>
        <rFont val="Calibri"/>
        <family val="2"/>
      </rPr>
      <t>∆</t>
    </r>
    <r>
      <rPr>
        <sz val="14"/>
        <color theme="1"/>
        <rFont val="Bookman Old Style"/>
        <family val="1"/>
      </rPr>
      <t xml:space="preserve"> = Central Angle = Delta</t>
    </r>
    <r>
      <rPr>
        <sz val="14"/>
        <color theme="1"/>
        <rFont val="Bookman Old Style"/>
        <family val="2"/>
      </rPr>
      <t xml:space="preserve"> = </t>
    </r>
  </si>
  <si>
    <t>Arc Defined Curve</t>
  </si>
  <si>
    <t xml:space="preserve">            Chord Defined Curve            </t>
  </si>
  <si>
    <t>Arc Curve Radius =</t>
  </si>
  <si>
    <t>ft</t>
  </si>
  <si>
    <t>Chord Curve Radius =</t>
  </si>
  <si>
    <t>Curve Length (Arc Definition) =</t>
  </si>
  <si>
    <t>Curve Length (Chord Definition) =</t>
  </si>
  <si>
    <t>Curve Length along Curve =</t>
  </si>
  <si>
    <t>Radius =</t>
  </si>
  <si>
    <t>Minutes</t>
  </si>
  <si>
    <t xml:space="preserve">Chord Defined Curve          </t>
  </si>
  <si>
    <t>Degree of Curve (Arc Definition) =</t>
  </si>
  <si>
    <t>Degree of Curve (Chord Definition) =</t>
  </si>
  <si>
    <t>Degree of Curve =</t>
  </si>
  <si>
    <t xml:space="preserve">P.I Station = </t>
  </si>
  <si>
    <t>PC Station =</t>
  </si>
  <si>
    <t>PT Station =</t>
  </si>
  <si>
    <t>T = Tangent Length =</t>
  </si>
  <si>
    <t>19+40.59</t>
  </si>
  <si>
    <t xml:space="preserve">                Note: Bentley calls the Central Angle the "Sweep Angle" or "Delta"</t>
  </si>
  <si>
    <t>Questions concerning this spreadsheet send to Kevin.Vollet@modot.mo.gov</t>
  </si>
  <si>
    <t>Spreadsheet is used to help determine if curve(s) are Chord or Arc Defined on existing plans sheets.</t>
  </si>
  <si>
    <t xml:space="preserve">Length of Spiral = </t>
  </si>
  <si>
    <t>Feet</t>
  </si>
  <si>
    <t>(If you have no Spirals enter zero for Length of Spiral)</t>
  </si>
  <si>
    <t>1940+75.5</t>
  </si>
  <si>
    <t xml:space="preserve">Ts = </t>
  </si>
  <si>
    <t xml:space="preserve">Rc = </t>
  </si>
  <si>
    <t xml:space="preserve">Dc = </t>
  </si>
  <si>
    <r>
      <rPr>
        <sz val="20"/>
        <color rgb="FF0000FF"/>
        <rFont val="Calibri"/>
        <family val="2"/>
      </rPr>
      <t>Ɵ</t>
    </r>
    <r>
      <rPr>
        <sz val="17"/>
        <color rgb="FF0000FF"/>
        <rFont val="Arial"/>
        <family val="2"/>
      </rPr>
      <t xml:space="preserve">s = </t>
    </r>
  </si>
  <si>
    <t xml:space="preserve">Yc = </t>
  </si>
  <si>
    <t xml:space="preserve">p = </t>
  </si>
  <si>
    <r>
      <t>Note: Remember that the COS function takes angles in radians, not degrees. </t>
    </r>
    <r>
      <rPr>
        <sz val="15"/>
        <color rgb="FF040C28"/>
        <rFont val="Roboto"/>
      </rPr>
      <t>Always use the RADIANS function to convert degrees to radians before using the COS function</t>
    </r>
    <r>
      <rPr>
        <sz val="15"/>
        <color rgb="FF202124"/>
        <rFont val="Roboto"/>
      </rPr>
      <t>.</t>
    </r>
  </si>
  <si>
    <t xml:space="preserve">A = </t>
  </si>
  <si>
    <t xml:space="preserve">k = </t>
  </si>
  <si>
    <r>
      <rPr>
        <b/>
        <sz val="12"/>
        <color theme="1"/>
        <rFont val="Bookman Old Style"/>
        <family val="1"/>
      </rPr>
      <t xml:space="preserve">  Note</t>
    </r>
    <r>
      <rPr>
        <sz val="12"/>
        <color theme="1"/>
        <rFont val="Bookman Old Style"/>
        <family val="1"/>
      </rPr>
      <t xml:space="preserve">: </t>
    </r>
    <r>
      <rPr>
        <i/>
        <sz val="12"/>
        <color theme="1"/>
        <rFont val="Bookman Old Style"/>
        <family val="1"/>
      </rPr>
      <t>Bentley sometimes calls the Central Angle the "Sweep Angle" or "Delta"</t>
    </r>
  </si>
  <si>
    <r>
      <t>This Section Is for the</t>
    </r>
    <r>
      <rPr>
        <sz val="20"/>
        <color rgb="FF0000FF"/>
        <rFont val="Bookman Old Style"/>
        <family val="1"/>
      </rPr>
      <t xml:space="preserve"> Chorded</t>
    </r>
    <r>
      <rPr>
        <sz val="20"/>
        <color theme="1"/>
        <rFont val="Bookman Old Style"/>
        <family val="1"/>
      </rPr>
      <t xml:space="preserve"> Curve Calculation for the Overall Tangent Distance</t>
    </r>
  </si>
  <si>
    <r>
      <t xml:space="preserve">This Section Is for the </t>
    </r>
    <r>
      <rPr>
        <sz val="20"/>
        <color rgb="FF0000FF"/>
        <rFont val="Bookman Old Style"/>
        <family val="1"/>
      </rPr>
      <t>Arc</t>
    </r>
    <r>
      <rPr>
        <sz val="20"/>
        <color theme="1"/>
        <rFont val="Bookman Old Style"/>
        <family val="1"/>
      </rPr>
      <t xml:space="preserve"> Curve Calculation for the Overall Tangent Distance</t>
    </r>
  </si>
  <si>
    <t>Version 2024-12-18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</si>
</sst>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#0\+00.00##"/>
    <numFmt numFmtId="167" formatCode="0.000000"/>
    <numFmt numFmtId="168" formatCode="#0\+00.00"/>
  </numFmts>
  <fonts count="23" x14ac:knownFonts="1">
    <font>
      <sz val="11"/>
      <color theme="1"/>
      <name val="Calibri"/>
      <family val="2"/>
      <scheme val="minor"/>
    </font>
    <font>
      <sz val="14"/>
      <color theme="1"/>
      <name val="Bookman Old Style"/>
      <family val="1"/>
    </font>
    <font>
      <sz val="14"/>
      <color theme="1"/>
      <name val="Calibri"/>
      <family val="2"/>
    </font>
    <font>
      <sz val="14"/>
      <color theme="1"/>
      <name val="Bookman Old Style"/>
      <family val="2"/>
    </font>
    <font>
      <b/>
      <sz val="14"/>
      <color rgb="FF0000FF"/>
      <name val="Bookman Old Style"/>
      <family val="1"/>
    </font>
    <font>
      <sz val="14"/>
      <name val="Bookman Old Style"/>
      <family val="1"/>
    </font>
    <font>
      <u/>
      <sz val="18"/>
      <color theme="1"/>
      <name val="Bookman Old Style"/>
      <family val="1"/>
    </font>
    <font>
      <sz val="14"/>
      <color theme="0"/>
      <name val="Bookman Old Style"/>
      <family val="1"/>
    </font>
    <font>
      <sz val="18"/>
      <color theme="1"/>
      <name val="Bookman Old Style"/>
      <family val="1"/>
    </font>
    <font>
      <u/>
      <sz val="14"/>
      <color theme="1"/>
      <name val="Bookman Old Style"/>
      <family val="1"/>
    </font>
    <font>
      <sz val="8"/>
      <color theme="1"/>
      <name val="Bookman Old Style"/>
      <family val="1"/>
    </font>
    <font>
      <sz val="12"/>
      <color theme="1"/>
      <name val="Bookman Old Style"/>
      <family val="1"/>
    </font>
    <font>
      <sz val="8"/>
      <color rgb="FFC00000"/>
      <name val="Bookman Old Style"/>
      <family val="1"/>
    </font>
    <font>
      <i/>
      <sz val="11"/>
      <color theme="1"/>
      <name val="Bookman Old Style"/>
      <family val="1"/>
    </font>
    <font>
      <sz val="20"/>
      <color rgb="FF0000FF"/>
      <name val="Arial"/>
      <family val="2"/>
    </font>
    <font>
      <sz val="20"/>
      <color rgb="FF0000FF"/>
      <name val="Calibri"/>
      <family val="2"/>
    </font>
    <font>
      <sz val="17"/>
      <color rgb="FF0000FF"/>
      <name val="Arial"/>
      <family val="2"/>
    </font>
    <font>
      <sz val="15"/>
      <color rgb="FF202124"/>
      <name val="Roboto"/>
    </font>
    <font>
      <sz val="15"/>
      <color rgb="FF040C28"/>
      <name val="Roboto"/>
    </font>
    <font>
      <i/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sz val="20"/>
      <color theme="1"/>
      <name val="Bookman Old Style"/>
      <family val="1"/>
    </font>
    <font>
      <sz val="20"/>
      <color rgb="FF0000FF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4" fillId="0" borderId="0" xfId="0" applyFont="1"/>
    <xf numFmtId="164" fontId="1" fillId="0" borderId="0" xfId="0" applyNumberFormat="1" applyFont="1"/>
    <xf numFmtId="0" fontId="6" fillId="0" borderId="0" xfId="0" applyFont="1" applyAlignment="1">
      <alignment horizontal="right"/>
    </xf>
    <xf numFmtId="0" fontId="1" fillId="3" borderId="2" xfId="0" applyFont="1" applyFill="1" applyBorder="1"/>
    <xf numFmtId="0" fontId="8" fillId="3" borderId="3" xfId="0" applyFont="1" applyFill="1" applyBorder="1" applyAlignment="1">
      <alignment horizontal="right"/>
    </xf>
    <xf numFmtId="0" fontId="1" fillId="3" borderId="3" xfId="0" applyFont="1" applyFill="1" applyBorder="1"/>
    <xf numFmtId="0" fontId="1" fillId="4" borderId="3" xfId="0" applyFont="1" applyFill="1" applyBorder="1"/>
    <xf numFmtId="0" fontId="8" fillId="4" borderId="3" xfId="0" applyFont="1" applyFill="1" applyBorder="1" applyAlignment="1">
      <alignment horizontal="right"/>
    </xf>
    <xf numFmtId="0" fontId="1" fillId="4" borderId="4" xfId="0" applyFont="1" applyFill="1" applyBorder="1"/>
    <xf numFmtId="0" fontId="1" fillId="0" borderId="5" xfId="0" applyFont="1" applyBorder="1"/>
    <xf numFmtId="0" fontId="7" fillId="0" borderId="0" xfId="0" applyFont="1"/>
    <xf numFmtId="164" fontId="7" fillId="0" borderId="0" xfId="0" applyNumberFormat="1" applyFont="1" applyAlignment="1">
      <alignment horizontal="center"/>
    </xf>
    <xf numFmtId="164" fontId="7" fillId="0" borderId="6" xfId="0" applyNumberFormat="1" applyFont="1" applyBorder="1"/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1" fontId="5" fillId="0" borderId="0" xfId="0" applyNumberFormat="1" applyFont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0" fontId="1" fillId="0" borderId="6" xfId="0" applyFont="1" applyBorder="1"/>
    <xf numFmtId="164" fontId="1" fillId="0" borderId="0" xfId="0" applyNumberFormat="1" applyFont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right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164" fontId="7" fillId="0" borderId="11" xfId="0" applyNumberFormat="1" applyFont="1" applyBorder="1"/>
    <xf numFmtId="0" fontId="1" fillId="0" borderId="12" xfId="0" applyFont="1" applyBorder="1"/>
    <xf numFmtId="0" fontId="1" fillId="3" borderId="4" xfId="0" applyFont="1" applyFill="1" applyBorder="1"/>
    <xf numFmtId="164" fontId="5" fillId="0" borderId="0" xfId="0" applyNumberFormat="1" applyFont="1"/>
    <xf numFmtId="0" fontId="4" fillId="0" borderId="0" xfId="0" applyFont="1" applyAlignment="1">
      <alignment horizontal="left"/>
    </xf>
    <xf numFmtId="0" fontId="1" fillId="5" borderId="10" xfId="0" applyFont="1" applyFill="1" applyBorder="1"/>
    <xf numFmtId="0" fontId="1" fillId="5" borderId="11" xfId="0" applyFont="1" applyFill="1" applyBorder="1"/>
    <xf numFmtId="0" fontId="1" fillId="5" borderId="11" xfId="0" applyFont="1" applyFill="1" applyBorder="1" applyAlignment="1">
      <alignment horizontal="center"/>
    </xf>
    <xf numFmtId="0" fontId="1" fillId="5" borderId="12" xfId="0" applyFont="1" applyFill="1" applyBorder="1"/>
    <xf numFmtId="0" fontId="1" fillId="5" borderId="5" xfId="0" applyFont="1" applyFill="1" applyBorder="1"/>
    <xf numFmtId="0" fontId="1" fillId="5" borderId="6" xfId="0" applyFont="1" applyFill="1" applyBorder="1"/>
    <xf numFmtId="0" fontId="1" fillId="5" borderId="7" xfId="0" applyFont="1" applyFill="1" applyBorder="1"/>
    <xf numFmtId="0" fontId="1" fillId="5" borderId="8" xfId="0" applyFont="1" applyFill="1" applyBorder="1"/>
    <xf numFmtId="0" fontId="1" fillId="5" borderId="9" xfId="0" applyFont="1" applyFill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164" fontId="1" fillId="5" borderId="8" xfId="0" applyNumberFormat="1" applyFont="1" applyFill="1" applyBorder="1"/>
    <xf numFmtId="0" fontId="9" fillId="3" borderId="2" xfId="0" applyFont="1" applyFill="1" applyBorder="1"/>
    <xf numFmtId="0" fontId="9" fillId="3" borderId="3" xfId="0" applyFont="1" applyFill="1" applyBorder="1"/>
    <xf numFmtId="0" fontId="9" fillId="3" borderId="4" xfId="0" applyFont="1" applyFill="1" applyBorder="1"/>
    <xf numFmtId="0" fontId="1" fillId="0" borderId="7" xfId="0" applyFont="1" applyBorder="1" applyAlignment="1">
      <alignment horizontal="right"/>
    </xf>
    <xf numFmtId="164" fontId="1" fillId="0" borderId="0" xfId="0" applyNumberFormat="1" applyFont="1" applyBorder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5" borderId="3" xfId="0" applyFont="1" applyFill="1" applyBorder="1"/>
    <xf numFmtId="0" fontId="1" fillId="5" borderId="19" xfId="0" applyFont="1" applyFill="1" applyBorder="1"/>
    <xf numFmtId="166" fontId="1" fillId="0" borderId="0" xfId="0" applyNumberFormat="1" applyFont="1"/>
    <xf numFmtId="166" fontId="1" fillId="0" borderId="0" xfId="0" applyNumberFormat="1" applyFont="1" applyBorder="1"/>
    <xf numFmtId="166" fontId="1" fillId="0" borderId="8" xfId="0" applyNumberFormat="1" applyFont="1" applyBorder="1"/>
    <xf numFmtId="0" fontId="10" fillId="5" borderId="12" xfId="0" applyFont="1" applyFill="1" applyBorder="1" applyAlignment="1">
      <alignment horizontal="right" vertical="center"/>
    </xf>
    <xf numFmtId="0" fontId="2" fillId="0" borderId="0" xfId="0" applyFont="1"/>
    <xf numFmtId="0" fontId="7" fillId="0" borderId="0" xfId="0" applyNumberFormat="1" applyFont="1"/>
    <xf numFmtId="0" fontId="1" fillId="0" borderId="11" xfId="0" applyFont="1" applyFill="1" applyBorder="1"/>
    <xf numFmtId="0" fontId="1" fillId="0" borderId="11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" fillId="0" borderId="10" xfId="0" applyFont="1" applyFill="1" applyBorder="1"/>
    <xf numFmtId="0" fontId="1" fillId="0" borderId="12" xfId="0" applyFont="1" applyFill="1" applyBorder="1"/>
    <xf numFmtId="0" fontId="1" fillId="0" borderId="5" xfId="0" applyFont="1" applyFill="1" applyBorder="1"/>
    <xf numFmtId="0" fontId="3" fillId="0" borderId="0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Fill="1" applyBorder="1"/>
    <xf numFmtId="0" fontId="10" fillId="5" borderId="3" xfId="0" applyFont="1" applyFill="1" applyBorder="1" applyAlignment="1">
      <alignment horizontal="right" vertical="center"/>
    </xf>
    <xf numFmtId="0" fontId="11" fillId="5" borderId="11" xfId="0" applyFont="1" applyFill="1" applyBorder="1" applyAlignment="1">
      <alignment horizontal="left" vertical="center"/>
    </xf>
    <xf numFmtId="0" fontId="11" fillId="5" borderId="11" xfId="0" applyFont="1" applyFill="1" applyBorder="1" applyAlignment="1">
      <alignment vertical="center"/>
    </xf>
    <xf numFmtId="0" fontId="12" fillId="5" borderId="1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2" fontId="1" fillId="0" borderId="0" xfId="0" applyNumberFormat="1" applyFont="1"/>
    <xf numFmtId="168" fontId="1" fillId="0" borderId="0" xfId="0" applyNumberFormat="1" applyFont="1" applyBorder="1"/>
    <xf numFmtId="168" fontId="1" fillId="0" borderId="0" xfId="0" applyNumberFormat="1" applyFont="1"/>
    <xf numFmtId="168" fontId="1" fillId="0" borderId="8" xfId="0" applyNumberFormat="1" applyFont="1" applyBorder="1"/>
    <xf numFmtId="0" fontId="11" fillId="0" borderId="5" xfId="0" applyFont="1" applyBorder="1"/>
    <xf numFmtId="0" fontId="11" fillId="0" borderId="0" xfId="0" applyFont="1" applyBorder="1"/>
    <xf numFmtId="0" fontId="10" fillId="5" borderId="6" xfId="0" applyFont="1" applyFill="1" applyBorder="1" applyAlignment="1">
      <alignment horizontal="right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vertic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2" fontId="1" fillId="0" borderId="11" xfId="0" applyNumberFormat="1" applyFont="1" applyBorder="1"/>
    <xf numFmtId="2" fontId="1" fillId="0" borderId="0" xfId="0" applyNumberFormat="1" applyFont="1" applyBorder="1"/>
    <xf numFmtId="0" fontId="14" fillId="0" borderId="0" xfId="0" applyFont="1" applyBorder="1" applyAlignment="1">
      <alignment horizontal="right"/>
    </xf>
    <xf numFmtId="167" fontId="14" fillId="0" borderId="0" xfId="0" applyNumberFormat="1" applyFont="1" applyBorder="1"/>
    <xf numFmtId="0" fontId="14" fillId="0" borderId="0" xfId="0" applyFont="1" applyBorder="1"/>
    <xf numFmtId="0" fontId="16" fillId="0" borderId="0" xfId="0" applyFont="1" applyBorder="1" applyAlignment="1">
      <alignment horizontal="right"/>
    </xf>
    <xf numFmtId="2" fontId="14" fillId="0" borderId="0" xfId="0" applyNumberFormat="1" applyFont="1" applyBorder="1"/>
    <xf numFmtId="0" fontId="17" fillId="0" borderId="0" xfId="0" applyFont="1" applyBorder="1"/>
    <xf numFmtId="2" fontId="1" fillId="0" borderId="8" xfId="0" applyNumberFormat="1" applyFont="1" applyBorder="1"/>
    <xf numFmtId="0" fontId="21" fillId="0" borderId="0" xfId="0" applyFont="1"/>
    <xf numFmtId="0" fontId="13" fillId="0" borderId="20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0" borderId="2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pub.com/inteng/11d.htm" TargetMode="External"/><Relationship Id="rId2" Type="http://schemas.openxmlformats.org/officeDocument/2006/relationships/image" Target="../media/image19.png"/><Relationship Id="rId1" Type="http://schemas.openxmlformats.org/officeDocument/2006/relationships/hyperlink" Target="http://www.tpub.com/inteng/11c.htm" TargetMode="External"/><Relationship Id="rId4" Type="http://schemas.openxmlformats.org/officeDocument/2006/relationships/image" Target="../media/image20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hyperlink" Target="http://www.tpub.com/inteng/11d.htm" TargetMode="External"/><Relationship Id="rId1" Type="http://schemas.openxmlformats.org/officeDocument/2006/relationships/image" Target="../media/image21.png"/><Relationship Id="rId5" Type="http://schemas.openxmlformats.org/officeDocument/2006/relationships/image" Target="../media/image23.png"/><Relationship Id="rId4" Type="http://schemas.openxmlformats.org/officeDocument/2006/relationships/hyperlink" Target="http://www.tpub.com/inteng/11b.htm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4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694764</xdr:colOff>
      <xdr:row>2</xdr:row>
      <xdr:rowOff>11206</xdr:rowOff>
    </xdr:from>
    <xdr:to>
      <xdr:col>9</xdr:col>
      <xdr:colOff>278292</xdr:colOff>
      <xdr:row>23</xdr:row>
      <xdr:rowOff>212911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788F7E-CD7A-4511-8DF2-9C10BF7DC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31088" y="481853"/>
          <a:ext cx="3135792" cy="506505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5</xdr:col>
      <xdr:colOff>400050</xdr:colOff>
      <xdr:row>4</xdr:row>
      <xdr:rowOff>104776</xdr:rowOff>
    </xdr:from>
    <xdr:to>
      <xdr:col>7</xdr:col>
      <xdr:colOff>906800</xdr:colOff>
      <xdr:row>26</xdr:row>
      <xdr:rowOff>76201</xdr:rowOff>
    </xdr:to>
    <xdr:sp macro="" textlink="">
      <xdr:nvSpPr>
        <xdr:cNvPr id="3" name="Freeform: Shape 2">
          <a:extLst>
            <a:ext uri="{FF2B5EF4-FFF2-40B4-BE49-F238E27FC236}">
              <a16:creationId xmlns:a16="http://schemas.microsoft.com/office/drawing/2014/main" id="{98811D3A-2262-43DD-BDF7-8DDBC854CC4D}"/>
            </a:ext>
          </a:extLst>
        </xdr:cNvPr>
        <xdr:cNvSpPr/>
      </xdr:nvSpPr>
      <xdr:spPr>
        <a:xfrm>
          <a:off x="5314950" y="819151"/>
          <a:ext cx="2621300" cy="3352800"/>
        </a:xfrm>
        <a:custGeom>
          <a:avLst/>
          <a:gdLst>
            <a:gd name="connsiteX0" fmla="*/ 1952625 w 2819400"/>
            <a:gd name="connsiteY0" fmla="*/ 0 h 3057525"/>
            <a:gd name="connsiteX1" fmla="*/ 2819400 w 2819400"/>
            <a:gd name="connsiteY1" fmla="*/ 161925 h 3057525"/>
            <a:gd name="connsiteX2" fmla="*/ 1619250 w 2819400"/>
            <a:gd name="connsiteY2" fmla="*/ 2028825 h 3057525"/>
            <a:gd name="connsiteX3" fmla="*/ 0 w 2819400"/>
            <a:gd name="connsiteY3" fmla="*/ 3057525 h 3057525"/>
            <a:gd name="connsiteX0" fmla="*/ 1952625 w 2609850"/>
            <a:gd name="connsiteY0" fmla="*/ 0 h 3057525"/>
            <a:gd name="connsiteX1" fmla="*/ 2609850 w 2609850"/>
            <a:gd name="connsiteY1" fmla="*/ 266700 h 3057525"/>
            <a:gd name="connsiteX2" fmla="*/ 1619250 w 2609850"/>
            <a:gd name="connsiteY2" fmla="*/ 2028825 h 3057525"/>
            <a:gd name="connsiteX3" fmla="*/ 0 w 2609850"/>
            <a:gd name="connsiteY3" fmla="*/ 3057525 h 3057525"/>
            <a:gd name="connsiteX0" fmla="*/ 1952625 w 2633210"/>
            <a:gd name="connsiteY0" fmla="*/ 0 h 3057525"/>
            <a:gd name="connsiteX1" fmla="*/ 2609850 w 2633210"/>
            <a:gd name="connsiteY1" fmla="*/ 266700 h 3057525"/>
            <a:gd name="connsiteX2" fmla="*/ 1619250 w 2633210"/>
            <a:gd name="connsiteY2" fmla="*/ 2028825 h 3057525"/>
            <a:gd name="connsiteX3" fmla="*/ 0 w 2633210"/>
            <a:gd name="connsiteY3" fmla="*/ 3057525 h 3057525"/>
            <a:gd name="connsiteX0" fmla="*/ 1952625 w 2624685"/>
            <a:gd name="connsiteY0" fmla="*/ 0 h 3057525"/>
            <a:gd name="connsiteX1" fmla="*/ 2609850 w 2624685"/>
            <a:gd name="connsiteY1" fmla="*/ 266700 h 3057525"/>
            <a:gd name="connsiteX2" fmla="*/ 1619250 w 2624685"/>
            <a:gd name="connsiteY2" fmla="*/ 2028825 h 3057525"/>
            <a:gd name="connsiteX3" fmla="*/ 0 w 2624685"/>
            <a:gd name="connsiteY3" fmla="*/ 3057525 h 3057525"/>
            <a:gd name="connsiteX0" fmla="*/ 1952625 w 2624685"/>
            <a:gd name="connsiteY0" fmla="*/ 31805 h 3089330"/>
            <a:gd name="connsiteX1" fmla="*/ 2609850 w 2624685"/>
            <a:gd name="connsiteY1" fmla="*/ 298505 h 3089330"/>
            <a:gd name="connsiteX2" fmla="*/ 1619250 w 2624685"/>
            <a:gd name="connsiteY2" fmla="*/ 2060630 h 3089330"/>
            <a:gd name="connsiteX3" fmla="*/ 0 w 2624685"/>
            <a:gd name="connsiteY3" fmla="*/ 3089330 h 3089330"/>
            <a:gd name="connsiteX0" fmla="*/ 1952625 w 2624685"/>
            <a:gd name="connsiteY0" fmla="*/ 0 h 3057525"/>
            <a:gd name="connsiteX1" fmla="*/ 2609850 w 2624685"/>
            <a:gd name="connsiteY1" fmla="*/ 266700 h 3057525"/>
            <a:gd name="connsiteX2" fmla="*/ 1619250 w 2624685"/>
            <a:gd name="connsiteY2" fmla="*/ 2028825 h 3057525"/>
            <a:gd name="connsiteX3" fmla="*/ 0 w 2624685"/>
            <a:gd name="connsiteY3" fmla="*/ 3057525 h 3057525"/>
            <a:gd name="connsiteX0" fmla="*/ 1952625 w 2624685"/>
            <a:gd name="connsiteY0" fmla="*/ 27576 h 3085101"/>
            <a:gd name="connsiteX1" fmla="*/ 2609850 w 2624685"/>
            <a:gd name="connsiteY1" fmla="*/ 294276 h 3085101"/>
            <a:gd name="connsiteX2" fmla="*/ 1619250 w 2624685"/>
            <a:gd name="connsiteY2" fmla="*/ 2056401 h 3085101"/>
            <a:gd name="connsiteX3" fmla="*/ 0 w 2624685"/>
            <a:gd name="connsiteY3" fmla="*/ 3085101 h 3085101"/>
            <a:gd name="connsiteX0" fmla="*/ 1819275 w 2611281"/>
            <a:gd name="connsiteY0" fmla="*/ 16879 h 3102979"/>
            <a:gd name="connsiteX1" fmla="*/ 2609850 w 2611281"/>
            <a:gd name="connsiteY1" fmla="*/ 312154 h 3102979"/>
            <a:gd name="connsiteX2" fmla="*/ 1619250 w 2611281"/>
            <a:gd name="connsiteY2" fmla="*/ 2074279 h 3102979"/>
            <a:gd name="connsiteX3" fmla="*/ 0 w 2611281"/>
            <a:gd name="connsiteY3" fmla="*/ 3102979 h 3102979"/>
            <a:gd name="connsiteX0" fmla="*/ 1819275 w 2611818"/>
            <a:gd name="connsiteY0" fmla="*/ 0 h 3086100"/>
            <a:gd name="connsiteX1" fmla="*/ 2609850 w 2611818"/>
            <a:gd name="connsiteY1" fmla="*/ 295275 h 3086100"/>
            <a:gd name="connsiteX2" fmla="*/ 1619250 w 2611818"/>
            <a:gd name="connsiteY2" fmla="*/ 2057400 h 3086100"/>
            <a:gd name="connsiteX3" fmla="*/ 0 w 2611818"/>
            <a:gd name="connsiteY3" fmla="*/ 3086100 h 3086100"/>
            <a:gd name="connsiteX0" fmla="*/ 1819275 w 2621300"/>
            <a:gd name="connsiteY0" fmla="*/ 0 h 3086100"/>
            <a:gd name="connsiteX1" fmla="*/ 2619375 w 2621300"/>
            <a:gd name="connsiteY1" fmla="*/ 428625 h 3086100"/>
            <a:gd name="connsiteX2" fmla="*/ 1619250 w 2621300"/>
            <a:gd name="connsiteY2" fmla="*/ 2057400 h 3086100"/>
            <a:gd name="connsiteX3" fmla="*/ 0 w 2621300"/>
            <a:gd name="connsiteY3" fmla="*/ 3086100 h 30861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621300" h="3086100">
              <a:moveTo>
                <a:pt x="1819275" y="0"/>
              </a:moveTo>
              <a:cubicBezTo>
                <a:pt x="2247900" y="22225"/>
                <a:pt x="2652712" y="85725"/>
                <a:pt x="2619375" y="428625"/>
              </a:cubicBezTo>
              <a:cubicBezTo>
                <a:pt x="2586038" y="771525"/>
                <a:pt x="2055813" y="1614488"/>
                <a:pt x="1619250" y="2057400"/>
              </a:cubicBezTo>
              <a:cubicBezTo>
                <a:pt x="1182688" y="2500313"/>
                <a:pt x="574675" y="2813050"/>
                <a:pt x="0" y="3086100"/>
              </a:cubicBezTo>
            </a:path>
          </a:pathLst>
        </a:custGeom>
        <a:noFill/>
        <a:ln w="47625">
          <a:solidFill>
            <a:srgbClr val="0000FF"/>
          </a:solidFill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487486</xdr:colOff>
      <xdr:row>17</xdr:row>
      <xdr:rowOff>202026</xdr:rowOff>
    </xdr:from>
    <xdr:to>
      <xdr:col>7</xdr:col>
      <xdr:colOff>72765</xdr:colOff>
      <xdr:row>26</xdr:row>
      <xdr:rowOff>133351</xdr:rowOff>
    </xdr:to>
    <xdr:sp macro="" textlink="">
      <xdr:nvSpPr>
        <xdr:cNvPr id="4" name="Freeform: Shape 3">
          <a:extLst>
            <a:ext uri="{FF2B5EF4-FFF2-40B4-BE49-F238E27FC236}">
              <a16:creationId xmlns:a16="http://schemas.microsoft.com/office/drawing/2014/main" id="{BA914CB5-EA7B-4D06-ABA2-8EDA8E5183CA}"/>
            </a:ext>
          </a:extLst>
        </xdr:cNvPr>
        <xdr:cNvSpPr/>
      </xdr:nvSpPr>
      <xdr:spPr>
        <a:xfrm>
          <a:off x="7682943" y="4001140"/>
          <a:ext cx="641193" cy="2097582"/>
        </a:xfrm>
        <a:custGeom>
          <a:avLst/>
          <a:gdLst>
            <a:gd name="connsiteX0" fmla="*/ 1952625 w 2819400"/>
            <a:gd name="connsiteY0" fmla="*/ 0 h 3057525"/>
            <a:gd name="connsiteX1" fmla="*/ 2819400 w 2819400"/>
            <a:gd name="connsiteY1" fmla="*/ 161925 h 3057525"/>
            <a:gd name="connsiteX2" fmla="*/ 1619250 w 2819400"/>
            <a:gd name="connsiteY2" fmla="*/ 2028825 h 3057525"/>
            <a:gd name="connsiteX3" fmla="*/ 0 w 2819400"/>
            <a:gd name="connsiteY3" fmla="*/ 3057525 h 3057525"/>
            <a:gd name="connsiteX0" fmla="*/ 1952625 w 2609850"/>
            <a:gd name="connsiteY0" fmla="*/ 0 h 3057525"/>
            <a:gd name="connsiteX1" fmla="*/ 2609850 w 2609850"/>
            <a:gd name="connsiteY1" fmla="*/ 266700 h 3057525"/>
            <a:gd name="connsiteX2" fmla="*/ 1619250 w 2609850"/>
            <a:gd name="connsiteY2" fmla="*/ 2028825 h 3057525"/>
            <a:gd name="connsiteX3" fmla="*/ 0 w 2609850"/>
            <a:gd name="connsiteY3" fmla="*/ 3057525 h 3057525"/>
            <a:gd name="connsiteX0" fmla="*/ 1952625 w 2633210"/>
            <a:gd name="connsiteY0" fmla="*/ 0 h 3057525"/>
            <a:gd name="connsiteX1" fmla="*/ 2609850 w 2633210"/>
            <a:gd name="connsiteY1" fmla="*/ 266700 h 3057525"/>
            <a:gd name="connsiteX2" fmla="*/ 1619250 w 2633210"/>
            <a:gd name="connsiteY2" fmla="*/ 2028825 h 3057525"/>
            <a:gd name="connsiteX3" fmla="*/ 0 w 2633210"/>
            <a:gd name="connsiteY3" fmla="*/ 3057525 h 3057525"/>
            <a:gd name="connsiteX0" fmla="*/ 1952625 w 2624685"/>
            <a:gd name="connsiteY0" fmla="*/ 0 h 3057525"/>
            <a:gd name="connsiteX1" fmla="*/ 2609850 w 2624685"/>
            <a:gd name="connsiteY1" fmla="*/ 266700 h 3057525"/>
            <a:gd name="connsiteX2" fmla="*/ 1619250 w 2624685"/>
            <a:gd name="connsiteY2" fmla="*/ 2028825 h 3057525"/>
            <a:gd name="connsiteX3" fmla="*/ 0 w 2624685"/>
            <a:gd name="connsiteY3" fmla="*/ 3057525 h 3057525"/>
            <a:gd name="connsiteX0" fmla="*/ 1952625 w 2624685"/>
            <a:gd name="connsiteY0" fmla="*/ 31805 h 3089330"/>
            <a:gd name="connsiteX1" fmla="*/ 2609850 w 2624685"/>
            <a:gd name="connsiteY1" fmla="*/ 298505 h 3089330"/>
            <a:gd name="connsiteX2" fmla="*/ 1619250 w 2624685"/>
            <a:gd name="connsiteY2" fmla="*/ 2060630 h 3089330"/>
            <a:gd name="connsiteX3" fmla="*/ 0 w 2624685"/>
            <a:gd name="connsiteY3" fmla="*/ 3089330 h 3089330"/>
            <a:gd name="connsiteX0" fmla="*/ 1952625 w 2624685"/>
            <a:gd name="connsiteY0" fmla="*/ 0 h 3057525"/>
            <a:gd name="connsiteX1" fmla="*/ 2609850 w 2624685"/>
            <a:gd name="connsiteY1" fmla="*/ 266700 h 3057525"/>
            <a:gd name="connsiteX2" fmla="*/ 1619250 w 2624685"/>
            <a:gd name="connsiteY2" fmla="*/ 2028825 h 3057525"/>
            <a:gd name="connsiteX3" fmla="*/ 0 w 2624685"/>
            <a:gd name="connsiteY3" fmla="*/ 3057525 h 3057525"/>
            <a:gd name="connsiteX0" fmla="*/ 1952625 w 2624685"/>
            <a:gd name="connsiteY0" fmla="*/ 27576 h 3085101"/>
            <a:gd name="connsiteX1" fmla="*/ 2609850 w 2624685"/>
            <a:gd name="connsiteY1" fmla="*/ 294276 h 3085101"/>
            <a:gd name="connsiteX2" fmla="*/ 1619250 w 2624685"/>
            <a:gd name="connsiteY2" fmla="*/ 2056401 h 3085101"/>
            <a:gd name="connsiteX3" fmla="*/ 0 w 2624685"/>
            <a:gd name="connsiteY3" fmla="*/ 3085101 h 3085101"/>
            <a:gd name="connsiteX0" fmla="*/ 1819275 w 2611281"/>
            <a:gd name="connsiteY0" fmla="*/ 16879 h 3102979"/>
            <a:gd name="connsiteX1" fmla="*/ 2609850 w 2611281"/>
            <a:gd name="connsiteY1" fmla="*/ 312154 h 3102979"/>
            <a:gd name="connsiteX2" fmla="*/ 1619250 w 2611281"/>
            <a:gd name="connsiteY2" fmla="*/ 2074279 h 3102979"/>
            <a:gd name="connsiteX3" fmla="*/ 0 w 2611281"/>
            <a:gd name="connsiteY3" fmla="*/ 3102979 h 3102979"/>
            <a:gd name="connsiteX0" fmla="*/ 1819275 w 2611818"/>
            <a:gd name="connsiteY0" fmla="*/ 0 h 3086100"/>
            <a:gd name="connsiteX1" fmla="*/ 2609850 w 2611818"/>
            <a:gd name="connsiteY1" fmla="*/ 295275 h 3086100"/>
            <a:gd name="connsiteX2" fmla="*/ 1619250 w 2611818"/>
            <a:gd name="connsiteY2" fmla="*/ 2057400 h 3086100"/>
            <a:gd name="connsiteX3" fmla="*/ 0 w 2611818"/>
            <a:gd name="connsiteY3" fmla="*/ 3086100 h 3086100"/>
            <a:gd name="connsiteX0" fmla="*/ 1819275 w 2621300"/>
            <a:gd name="connsiteY0" fmla="*/ 0 h 3086100"/>
            <a:gd name="connsiteX1" fmla="*/ 2619375 w 2621300"/>
            <a:gd name="connsiteY1" fmla="*/ 428625 h 3086100"/>
            <a:gd name="connsiteX2" fmla="*/ 1619250 w 2621300"/>
            <a:gd name="connsiteY2" fmla="*/ 2057400 h 3086100"/>
            <a:gd name="connsiteX3" fmla="*/ 0 w 2621300"/>
            <a:gd name="connsiteY3" fmla="*/ 3086100 h 3086100"/>
            <a:gd name="connsiteX0" fmla="*/ 2619375 w 2619375"/>
            <a:gd name="connsiteY0" fmla="*/ 0 h 2657475"/>
            <a:gd name="connsiteX1" fmla="*/ 1619250 w 2619375"/>
            <a:gd name="connsiteY1" fmla="*/ 1628775 h 2657475"/>
            <a:gd name="connsiteX2" fmla="*/ 0 w 2619375"/>
            <a:gd name="connsiteY2" fmla="*/ 2657475 h 2657475"/>
            <a:gd name="connsiteX0" fmla="*/ 1619250 w 1619250"/>
            <a:gd name="connsiteY0" fmla="*/ 0 h 1028700"/>
            <a:gd name="connsiteX1" fmla="*/ 0 w 1619250"/>
            <a:gd name="connsiteY1" fmla="*/ 1028700 h 1028700"/>
            <a:gd name="connsiteX0" fmla="*/ 1209675 w 1209675"/>
            <a:gd name="connsiteY0" fmla="*/ 0 h 1333500"/>
            <a:gd name="connsiteX1" fmla="*/ 0 w 1209675"/>
            <a:gd name="connsiteY1" fmla="*/ 1333500 h 1333500"/>
            <a:gd name="connsiteX0" fmla="*/ 122460 w 223190"/>
            <a:gd name="connsiteY0" fmla="*/ 0 h 1133475"/>
            <a:gd name="connsiteX1" fmla="*/ 27210 w 223190"/>
            <a:gd name="connsiteY1" fmla="*/ 1133475 h 1133475"/>
            <a:gd name="connsiteX0" fmla="*/ 614517 w 614517"/>
            <a:gd name="connsiteY0" fmla="*/ 0 h 1133475"/>
            <a:gd name="connsiteX1" fmla="*/ 519267 w 614517"/>
            <a:gd name="connsiteY1" fmla="*/ 1133475 h 1133475"/>
            <a:gd name="connsiteX0" fmla="*/ 558708 w 558708"/>
            <a:gd name="connsiteY0" fmla="*/ 0 h 1247775"/>
            <a:gd name="connsiteX1" fmla="*/ 549183 w 558708"/>
            <a:gd name="connsiteY1" fmla="*/ 1247775 h 1247775"/>
            <a:gd name="connsiteX0" fmla="*/ 506303 w 581802"/>
            <a:gd name="connsiteY0" fmla="*/ 0 h 1178612"/>
            <a:gd name="connsiteX1" fmla="*/ 581802 w 581802"/>
            <a:gd name="connsiteY1" fmla="*/ 1178612 h 1178612"/>
            <a:gd name="connsiteX0" fmla="*/ 487173 w 595063"/>
            <a:gd name="connsiteY0" fmla="*/ 0 h 1162338"/>
            <a:gd name="connsiteX1" fmla="*/ 595063 w 595063"/>
            <a:gd name="connsiteY1" fmla="*/ 1162338 h 1162338"/>
            <a:gd name="connsiteX0" fmla="*/ 794660 w 794660"/>
            <a:gd name="connsiteY0" fmla="*/ 0 h 1149884"/>
            <a:gd name="connsiteX1" fmla="*/ 445380 w 794660"/>
            <a:gd name="connsiteY1" fmla="*/ 1149884 h 1149884"/>
            <a:gd name="connsiteX0" fmla="*/ 574941 w 574941"/>
            <a:gd name="connsiteY0" fmla="*/ 0 h 1177380"/>
            <a:gd name="connsiteX1" fmla="*/ 540023 w 574941"/>
            <a:gd name="connsiteY1" fmla="*/ 1177380 h 1177380"/>
            <a:gd name="connsiteX0" fmla="*/ 566588 w 566588"/>
            <a:gd name="connsiteY0" fmla="*/ 0 h 1177380"/>
            <a:gd name="connsiteX1" fmla="*/ 531670 w 566588"/>
            <a:gd name="connsiteY1" fmla="*/ 1177380 h 1177380"/>
            <a:gd name="connsiteX0" fmla="*/ 582466 w 582467"/>
            <a:gd name="connsiteY0" fmla="*/ 0 h 1177380"/>
            <a:gd name="connsiteX1" fmla="*/ 523366 w 582467"/>
            <a:gd name="connsiteY1" fmla="*/ 1177380 h 1177380"/>
            <a:gd name="connsiteX0" fmla="*/ 569744 w 569744"/>
            <a:gd name="connsiteY0" fmla="*/ 0 h 1177380"/>
            <a:gd name="connsiteX1" fmla="*/ 529990 w 569744"/>
            <a:gd name="connsiteY1" fmla="*/ 1177380 h 117738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569744" h="1177380">
              <a:moveTo>
                <a:pt x="569744" y="0"/>
              </a:moveTo>
              <a:cubicBezTo>
                <a:pt x="162200" y="470409"/>
                <a:pt x="-457435" y="1151980"/>
                <a:pt x="529990" y="1177380"/>
              </a:cubicBezTo>
            </a:path>
          </a:pathLst>
        </a:custGeom>
        <a:noFill/>
        <a:ln w="47625">
          <a:solidFill>
            <a:srgbClr val="0000FF"/>
          </a:solidFill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457199</xdr:colOff>
      <xdr:row>12</xdr:row>
      <xdr:rowOff>85727</xdr:rowOff>
    </xdr:from>
    <xdr:to>
      <xdr:col>7</xdr:col>
      <xdr:colOff>429406</xdr:colOff>
      <xdr:row>29</xdr:row>
      <xdr:rowOff>125015</xdr:rowOff>
    </xdr:to>
    <xdr:sp macro="" textlink="">
      <xdr:nvSpPr>
        <xdr:cNvPr id="5" name="Freeform: Shape 4">
          <a:extLst>
            <a:ext uri="{FF2B5EF4-FFF2-40B4-BE49-F238E27FC236}">
              <a16:creationId xmlns:a16="http://schemas.microsoft.com/office/drawing/2014/main" id="{8D789081-BC1A-4BEF-A711-B09A57BF4BB0}"/>
            </a:ext>
          </a:extLst>
        </xdr:cNvPr>
        <xdr:cNvSpPr/>
      </xdr:nvSpPr>
      <xdr:spPr>
        <a:xfrm>
          <a:off x="6594871" y="2705102"/>
          <a:ext cx="2091519" cy="4021929"/>
        </a:xfrm>
        <a:custGeom>
          <a:avLst/>
          <a:gdLst>
            <a:gd name="connsiteX0" fmla="*/ 1952625 w 2819400"/>
            <a:gd name="connsiteY0" fmla="*/ 0 h 3057525"/>
            <a:gd name="connsiteX1" fmla="*/ 2819400 w 2819400"/>
            <a:gd name="connsiteY1" fmla="*/ 161925 h 3057525"/>
            <a:gd name="connsiteX2" fmla="*/ 1619250 w 2819400"/>
            <a:gd name="connsiteY2" fmla="*/ 2028825 h 3057525"/>
            <a:gd name="connsiteX3" fmla="*/ 0 w 2819400"/>
            <a:gd name="connsiteY3" fmla="*/ 3057525 h 3057525"/>
            <a:gd name="connsiteX0" fmla="*/ 1952625 w 2609850"/>
            <a:gd name="connsiteY0" fmla="*/ 0 h 3057525"/>
            <a:gd name="connsiteX1" fmla="*/ 2609850 w 2609850"/>
            <a:gd name="connsiteY1" fmla="*/ 266700 h 3057525"/>
            <a:gd name="connsiteX2" fmla="*/ 1619250 w 2609850"/>
            <a:gd name="connsiteY2" fmla="*/ 2028825 h 3057525"/>
            <a:gd name="connsiteX3" fmla="*/ 0 w 2609850"/>
            <a:gd name="connsiteY3" fmla="*/ 3057525 h 3057525"/>
            <a:gd name="connsiteX0" fmla="*/ 1952625 w 2633210"/>
            <a:gd name="connsiteY0" fmla="*/ 0 h 3057525"/>
            <a:gd name="connsiteX1" fmla="*/ 2609850 w 2633210"/>
            <a:gd name="connsiteY1" fmla="*/ 266700 h 3057525"/>
            <a:gd name="connsiteX2" fmla="*/ 1619250 w 2633210"/>
            <a:gd name="connsiteY2" fmla="*/ 2028825 h 3057525"/>
            <a:gd name="connsiteX3" fmla="*/ 0 w 2633210"/>
            <a:gd name="connsiteY3" fmla="*/ 3057525 h 3057525"/>
            <a:gd name="connsiteX0" fmla="*/ 1952625 w 2624685"/>
            <a:gd name="connsiteY0" fmla="*/ 0 h 3057525"/>
            <a:gd name="connsiteX1" fmla="*/ 2609850 w 2624685"/>
            <a:gd name="connsiteY1" fmla="*/ 266700 h 3057525"/>
            <a:gd name="connsiteX2" fmla="*/ 1619250 w 2624685"/>
            <a:gd name="connsiteY2" fmla="*/ 2028825 h 3057525"/>
            <a:gd name="connsiteX3" fmla="*/ 0 w 2624685"/>
            <a:gd name="connsiteY3" fmla="*/ 3057525 h 3057525"/>
            <a:gd name="connsiteX0" fmla="*/ 1952625 w 2624685"/>
            <a:gd name="connsiteY0" fmla="*/ 31805 h 3089330"/>
            <a:gd name="connsiteX1" fmla="*/ 2609850 w 2624685"/>
            <a:gd name="connsiteY1" fmla="*/ 298505 h 3089330"/>
            <a:gd name="connsiteX2" fmla="*/ 1619250 w 2624685"/>
            <a:gd name="connsiteY2" fmla="*/ 2060630 h 3089330"/>
            <a:gd name="connsiteX3" fmla="*/ 0 w 2624685"/>
            <a:gd name="connsiteY3" fmla="*/ 3089330 h 3089330"/>
            <a:gd name="connsiteX0" fmla="*/ 1952625 w 2624685"/>
            <a:gd name="connsiteY0" fmla="*/ 0 h 3057525"/>
            <a:gd name="connsiteX1" fmla="*/ 2609850 w 2624685"/>
            <a:gd name="connsiteY1" fmla="*/ 266700 h 3057525"/>
            <a:gd name="connsiteX2" fmla="*/ 1619250 w 2624685"/>
            <a:gd name="connsiteY2" fmla="*/ 2028825 h 3057525"/>
            <a:gd name="connsiteX3" fmla="*/ 0 w 2624685"/>
            <a:gd name="connsiteY3" fmla="*/ 3057525 h 3057525"/>
            <a:gd name="connsiteX0" fmla="*/ 1952625 w 2624685"/>
            <a:gd name="connsiteY0" fmla="*/ 27576 h 3085101"/>
            <a:gd name="connsiteX1" fmla="*/ 2609850 w 2624685"/>
            <a:gd name="connsiteY1" fmla="*/ 294276 h 3085101"/>
            <a:gd name="connsiteX2" fmla="*/ 1619250 w 2624685"/>
            <a:gd name="connsiteY2" fmla="*/ 2056401 h 3085101"/>
            <a:gd name="connsiteX3" fmla="*/ 0 w 2624685"/>
            <a:gd name="connsiteY3" fmla="*/ 3085101 h 3085101"/>
            <a:gd name="connsiteX0" fmla="*/ 1819275 w 2611281"/>
            <a:gd name="connsiteY0" fmla="*/ 16879 h 3102979"/>
            <a:gd name="connsiteX1" fmla="*/ 2609850 w 2611281"/>
            <a:gd name="connsiteY1" fmla="*/ 312154 h 3102979"/>
            <a:gd name="connsiteX2" fmla="*/ 1619250 w 2611281"/>
            <a:gd name="connsiteY2" fmla="*/ 2074279 h 3102979"/>
            <a:gd name="connsiteX3" fmla="*/ 0 w 2611281"/>
            <a:gd name="connsiteY3" fmla="*/ 3102979 h 3102979"/>
            <a:gd name="connsiteX0" fmla="*/ 1819275 w 2611818"/>
            <a:gd name="connsiteY0" fmla="*/ 0 h 3086100"/>
            <a:gd name="connsiteX1" fmla="*/ 2609850 w 2611818"/>
            <a:gd name="connsiteY1" fmla="*/ 295275 h 3086100"/>
            <a:gd name="connsiteX2" fmla="*/ 1619250 w 2611818"/>
            <a:gd name="connsiteY2" fmla="*/ 2057400 h 3086100"/>
            <a:gd name="connsiteX3" fmla="*/ 0 w 2611818"/>
            <a:gd name="connsiteY3" fmla="*/ 3086100 h 3086100"/>
            <a:gd name="connsiteX0" fmla="*/ 1819275 w 2621300"/>
            <a:gd name="connsiteY0" fmla="*/ 0 h 3086100"/>
            <a:gd name="connsiteX1" fmla="*/ 2619375 w 2621300"/>
            <a:gd name="connsiteY1" fmla="*/ 428625 h 3086100"/>
            <a:gd name="connsiteX2" fmla="*/ 1619250 w 2621300"/>
            <a:gd name="connsiteY2" fmla="*/ 2057400 h 3086100"/>
            <a:gd name="connsiteX3" fmla="*/ 0 w 2621300"/>
            <a:gd name="connsiteY3" fmla="*/ 3086100 h 3086100"/>
            <a:gd name="connsiteX0" fmla="*/ 1957019 w 2759044"/>
            <a:gd name="connsiteY0" fmla="*/ 0 h 3091054"/>
            <a:gd name="connsiteX1" fmla="*/ 2757119 w 2759044"/>
            <a:gd name="connsiteY1" fmla="*/ 428625 h 3091054"/>
            <a:gd name="connsiteX2" fmla="*/ 1756994 w 2759044"/>
            <a:gd name="connsiteY2" fmla="*/ 2057400 h 3091054"/>
            <a:gd name="connsiteX3" fmla="*/ 0 w 2759044"/>
            <a:gd name="connsiteY3" fmla="*/ 3091054 h 3091054"/>
            <a:gd name="connsiteX0" fmla="*/ 1957019 w 2763051"/>
            <a:gd name="connsiteY0" fmla="*/ 0 h 3091054"/>
            <a:gd name="connsiteX1" fmla="*/ 2757119 w 2763051"/>
            <a:gd name="connsiteY1" fmla="*/ 428625 h 3091054"/>
            <a:gd name="connsiteX2" fmla="*/ 1585548 w 2763051"/>
            <a:gd name="connsiteY2" fmla="*/ 1906575 h 3091054"/>
            <a:gd name="connsiteX3" fmla="*/ 0 w 2763051"/>
            <a:gd name="connsiteY3" fmla="*/ 3091054 h 309105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763051" h="3091054">
              <a:moveTo>
                <a:pt x="1957019" y="0"/>
              </a:moveTo>
              <a:cubicBezTo>
                <a:pt x="2385644" y="22225"/>
                <a:pt x="2819031" y="110863"/>
                <a:pt x="2757119" y="428625"/>
              </a:cubicBezTo>
              <a:cubicBezTo>
                <a:pt x="2695207" y="746388"/>
                <a:pt x="2045068" y="1462837"/>
                <a:pt x="1585548" y="1906575"/>
              </a:cubicBezTo>
              <a:cubicBezTo>
                <a:pt x="1126028" y="2350313"/>
                <a:pt x="574675" y="2818004"/>
                <a:pt x="0" y="3091054"/>
              </a:cubicBezTo>
            </a:path>
          </a:pathLst>
        </a:custGeom>
        <a:noFill/>
        <a:ln w="47625">
          <a:solidFill>
            <a:srgbClr val="7030A0"/>
          </a:solidFill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744064</xdr:colOff>
      <xdr:row>26</xdr:row>
      <xdr:rowOff>192198</xdr:rowOff>
    </xdr:from>
    <xdr:to>
      <xdr:col>5</xdr:col>
      <xdr:colOff>1056735</xdr:colOff>
      <xdr:row>29</xdr:row>
      <xdr:rowOff>110428</xdr:rowOff>
    </xdr:to>
    <xdr:sp macro="" textlink="">
      <xdr:nvSpPr>
        <xdr:cNvPr id="6" name="Freeform: Shape 5">
          <a:extLst>
            <a:ext uri="{FF2B5EF4-FFF2-40B4-BE49-F238E27FC236}">
              <a16:creationId xmlns:a16="http://schemas.microsoft.com/office/drawing/2014/main" id="{5BB25839-A78D-4151-B08A-21119E1D2B82}"/>
            </a:ext>
          </a:extLst>
        </xdr:cNvPr>
        <xdr:cNvSpPr/>
      </xdr:nvSpPr>
      <xdr:spPr>
        <a:xfrm>
          <a:off x="6879602" y="6140830"/>
          <a:ext cx="312671" cy="608343"/>
        </a:xfrm>
        <a:custGeom>
          <a:avLst/>
          <a:gdLst>
            <a:gd name="connsiteX0" fmla="*/ 1952625 w 2819400"/>
            <a:gd name="connsiteY0" fmla="*/ 0 h 3057525"/>
            <a:gd name="connsiteX1" fmla="*/ 2819400 w 2819400"/>
            <a:gd name="connsiteY1" fmla="*/ 161925 h 3057525"/>
            <a:gd name="connsiteX2" fmla="*/ 1619250 w 2819400"/>
            <a:gd name="connsiteY2" fmla="*/ 2028825 h 3057525"/>
            <a:gd name="connsiteX3" fmla="*/ 0 w 2819400"/>
            <a:gd name="connsiteY3" fmla="*/ 3057525 h 3057525"/>
            <a:gd name="connsiteX0" fmla="*/ 1952625 w 2609850"/>
            <a:gd name="connsiteY0" fmla="*/ 0 h 3057525"/>
            <a:gd name="connsiteX1" fmla="*/ 2609850 w 2609850"/>
            <a:gd name="connsiteY1" fmla="*/ 266700 h 3057525"/>
            <a:gd name="connsiteX2" fmla="*/ 1619250 w 2609850"/>
            <a:gd name="connsiteY2" fmla="*/ 2028825 h 3057525"/>
            <a:gd name="connsiteX3" fmla="*/ 0 w 2609850"/>
            <a:gd name="connsiteY3" fmla="*/ 3057525 h 3057525"/>
            <a:gd name="connsiteX0" fmla="*/ 1952625 w 2633210"/>
            <a:gd name="connsiteY0" fmla="*/ 0 h 3057525"/>
            <a:gd name="connsiteX1" fmla="*/ 2609850 w 2633210"/>
            <a:gd name="connsiteY1" fmla="*/ 266700 h 3057525"/>
            <a:gd name="connsiteX2" fmla="*/ 1619250 w 2633210"/>
            <a:gd name="connsiteY2" fmla="*/ 2028825 h 3057525"/>
            <a:gd name="connsiteX3" fmla="*/ 0 w 2633210"/>
            <a:gd name="connsiteY3" fmla="*/ 3057525 h 3057525"/>
            <a:gd name="connsiteX0" fmla="*/ 1952625 w 2624685"/>
            <a:gd name="connsiteY0" fmla="*/ 0 h 3057525"/>
            <a:gd name="connsiteX1" fmla="*/ 2609850 w 2624685"/>
            <a:gd name="connsiteY1" fmla="*/ 266700 h 3057525"/>
            <a:gd name="connsiteX2" fmla="*/ 1619250 w 2624685"/>
            <a:gd name="connsiteY2" fmla="*/ 2028825 h 3057525"/>
            <a:gd name="connsiteX3" fmla="*/ 0 w 2624685"/>
            <a:gd name="connsiteY3" fmla="*/ 3057525 h 3057525"/>
            <a:gd name="connsiteX0" fmla="*/ 1952625 w 2624685"/>
            <a:gd name="connsiteY0" fmla="*/ 31805 h 3089330"/>
            <a:gd name="connsiteX1" fmla="*/ 2609850 w 2624685"/>
            <a:gd name="connsiteY1" fmla="*/ 298505 h 3089330"/>
            <a:gd name="connsiteX2" fmla="*/ 1619250 w 2624685"/>
            <a:gd name="connsiteY2" fmla="*/ 2060630 h 3089330"/>
            <a:gd name="connsiteX3" fmla="*/ 0 w 2624685"/>
            <a:gd name="connsiteY3" fmla="*/ 3089330 h 3089330"/>
            <a:gd name="connsiteX0" fmla="*/ 1952625 w 2624685"/>
            <a:gd name="connsiteY0" fmla="*/ 0 h 3057525"/>
            <a:gd name="connsiteX1" fmla="*/ 2609850 w 2624685"/>
            <a:gd name="connsiteY1" fmla="*/ 266700 h 3057525"/>
            <a:gd name="connsiteX2" fmla="*/ 1619250 w 2624685"/>
            <a:gd name="connsiteY2" fmla="*/ 2028825 h 3057525"/>
            <a:gd name="connsiteX3" fmla="*/ 0 w 2624685"/>
            <a:gd name="connsiteY3" fmla="*/ 3057525 h 3057525"/>
            <a:gd name="connsiteX0" fmla="*/ 1952625 w 2624685"/>
            <a:gd name="connsiteY0" fmla="*/ 27576 h 3085101"/>
            <a:gd name="connsiteX1" fmla="*/ 2609850 w 2624685"/>
            <a:gd name="connsiteY1" fmla="*/ 294276 h 3085101"/>
            <a:gd name="connsiteX2" fmla="*/ 1619250 w 2624685"/>
            <a:gd name="connsiteY2" fmla="*/ 2056401 h 3085101"/>
            <a:gd name="connsiteX3" fmla="*/ 0 w 2624685"/>
            <a:gd name="connsiteY3" fmla="*/ 3085101 h 3085101"/>
            <a:gd name="connsiteX0" fmla="*/ 1819275 w 2611281"/>
            <a:gd name="connsiteY0" fmla="*/ 16879 h 3102979"/>
            <a:gd name="connsiteX1" fmla="*/ 2609850 w 2611281"/>
            <a:gd name="connsiteY1" fmla="*/ 312154 h 3102979"/>
            <a:gd name="connsiteX2" fmla="*/ 1619250 w 2611281"/>
            <a:gd name="connsiteY2" fmla="*/ 2074279 h 3102979"/>
            <a:gd name="connsiteX3" fmla="*/ 0 w 2611281"/>
            <a:gd name="connsiteY3" fmla="*/ 3102979 h 3102979"/>
            <a:gd name="connsiteX0" fmla="*/ 1819275 w 2611818"/>
            <a:gd name="connsiteY0" fmla="*/ 0 h 3086100"/>
            <a:gd name="connsiteX1" fmla="*/ 2609850 w 2611818"/>
            <a:gd name="connsiteY1" fmla="*/ 295275 h 3086100"/>
            <a:gd name="connsiteX2" fmla="*/ 1619250 w 2611818"/>
            <a:gd name="connsiteY2" fmla="*/ 2057400 h 3086100"/>
            <a:gd name="connsiteX3" fmla="*/ 0 w 2611818"/>
            <a:gd name="connsiteY3" fmla="*/ 3086100 h 3086100"/>
            <a:gd name="connsiteX0" fmla="*/ 1819275 w 2621300"/>
            <a:gd name="connsiteY0" fmla="*/ 0 h 3086100"/>
            <a:gd name="connsiteX1" fmla="*/ 2619375 w 2621300"/>
            <a:gd name="connsiteY1" fmla="*/ 428625 h 3086100"/>
            <a:gd name="connsiteX2" fmla="*/ 1619250 w 2621300"/>
            <a:gd name="connsiteY2" fmla="*/ 2057400 h 3086100"/>
            <a:gd name="connsiteX3" fmla="*/ 0 w 2621300"/>
            <a:gd name="connsiteY3" fmla="*/ 3086100 h 3086100"/>
            <a:gd name="connsiteX0" fmla="*/ 2619375 w 2619375"/>
            <a:gd name="connsiteY0" fmla="*/ 0 h 2657475"/>
            <a:gd name="connsiteX1" fmla="*/ 1619250 w 2619375"/>
            <a:gd name="connsiteY1" fmla="*/ 1628775 h 2657475"/>
            <a:gd name="connsiteX2" fmla="*/ 0 w 2619375"/>
            <a:gd name="connsiteY2" fmla="*/ 2657475 h 2657475"/>
            <a:gd name="connsiteX0" fmla="*/ 1619250 w 1619250"/>
            <a:gd name="connsiteY0" fmla="*/ 0 h 1028700"/>
            <a:gd name="connsiteX1" fmla="*/ 0 w 1619250"/>
            <a:gd name="connsiteY1" fmla="*/ 1028700 h 1028700"/>
            <a:gd name="connsiteX0" fmla="*/ 1209675 w 1209675"/>
            <a:gd name="connsiteY0" fmla="*/ 0 h 1333500"/>
            <a:gd name="connsiteX1" fmla="*/ 0 w 1209675"/>
            <a:gd name="connsiteY1" fmla="*/ 1333500 h 1333500"/>
            <a:gd name="connsiteX0" fmla="*/ 122460 w 223190"/>
            <a:gd name="connsiteY0" fmla="*/ 0 h 1133475"/>
            <a:gd name="connsiteX1" fmla="*/ 27210 w 223190"/>
            <a:gd name="connsiteY1" fmla="*/ 1133475 h 1133475"/>
            <a:gd name="connsiteX0" fmla="*/ 614517 w 614517"/>
            <a:gd name="connsiteY0" fmla="*/ 0 h 1133475"/>
            <a:gd name="connsiteX1" fmla="*/ 519267 w 614517"/>
            <a:gd name="connsiteY1" fmla="*/ 1133475 h 1133475"/>
            <a:gd name="connsiteX0" fmla="*/ 558708 w 558708"/>
            <a:gd name="connsiteY0" fmla="*/ 0 h 1247775"/>
            <a:gd name="connsiteX1" fmla="*/ 549183 w 558708"/>
            <a:gd name="connsiteY1" fmla="*/ 1247775 h 1247775"/>
            <a:gd name="connsiteX0" fmla="*/ 506303 w 581802"/>
            <a:gd name="connsiteY0" fmla="*/ 0 h 1178612"/>
            <a:gd name="connsiteX1" fmla="*/ 581802 w 581802"/>
            <a:gd name="connsiteY1" fmla="*/ 1178612 h 1178612"/>
            <a:gd name="connsiteX0" fmla="*/ 487173 w 595063"/>
            <a:gd name="connsiteY0" fmla="*/ 0 h 1162338"/>
            <a:gd name="connsiteX1" fmla="*/ 595063 w 595063"/>
            <a:gd name="connsiteY1" fmla="*/ 1162338 h 1162338"/>
            <a:gd name="connsiteX0" fmla="*/ 482179 w 590069"/>
            <a:gd name="connsiteY0" fmla="*/ 0 h 1169198"/>
            <a:gd name="connsiteX1" fmla="*/ 590069 w 590069"/>
            <a:gd name="connsiteY1" fmla="*/ 1162338 h 1169198"/>
            <a:gd name="connsiteX0" fmla="*/ 479509 w 587399"/>
            <a:gd name="connsiteY0" fmla="*/ 0 h 1170194"/>
            <a:gd name="connsiteX1" fmla="*/ 587399 w 587399"/>
            <a:gd name="connsiteY1" fmla="*/ 1162338 h 1170194"/>
            <a:gd name="connsiteX0" fmla="*/ 474800 w 590787"/>
            <a:gd name="connsiteY0" fmla="*/ 0 h 1182840"/>
            <a:gd name="connsiteX1" fmla="*/ 590787 w 590787"/>
            <a:gd name="connsiteY1" fmla="*/ 1175110 h 1182840"/>
            <a:gd name="connsiteX0" fmla="*/ 405123 w 521110"/>
            <a:gd name="connsiteY0" fmla="*/ 0 h 1181653"/>
            <a:gd name="connsiteX1" fmla="*/ 521110 w 521110"/>
            <a:gd name="connsiteY1" fmla="*/ 1175110 h 1181653"/>
            <a:gd name="connsiteX0" fmla="*/ 431722 w 547709"/>
            <a:gd name="connsiteY0" fmla="*/ 0 h 1181590"/>
            <a:gd name="connsiteX1" fmla="*/ 547709 w 547709"/>
            <a:gd name="connsiteY1" fmla="*/ 1175110 h 1181590"/>
            <a:gd name="connsiteX0" fmla="*/ 475093 w 522618"/>
            <a:gd name="connsiteY0" fmla="*/ 0 h 1170208"/>
            <a:gd name="connsiteX1" fmla="*/ 522618 w 522618"/>
            <a:gd name="connsiteY1" fmla="*/ 1163645 h 1170208"/>
            <a:gd name="connsiteX0" fmla="*/ 494592 w 512318"/>
            <a:gd name="connsiteY0" fmla="*/ 0 h 1156715"/>
            <a:gd name="connsiteX1" fmla="*/ 512318 w 512318"/>
            <a:gd name="connsiteY1" fmla="*/ 1150055 h 1156715"/>
            <a:gd name="connsiteX0" fmla="*/ 482850 w 518455"/>
            <a:gd name="connsiteY0" fmla="*/ 0 h 1149970"/>
            <a:gd name="connsiteX1" fmla="*/ 518455 w 518455"/>
            <a:gd name="connsiteY1" fmla="*/ 1143261 h 114997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518455" h="1149970">
              <a:moveTo>
                <a:pt x="482850" y="0"/>
              </a:moveTo>
              <a:cubicBezTo>
                <a:pt x="189209" y="403397"/>
                <a:pt x="-456824" y="1232819"/>
                <a:pt x="518455" y="1143261"/>
              </a:cubicBezTo>
            </a:path>
          </a:pathLst>
        </a:custGeom>
        <a:noFill/>
        <a:ln w="47625">
          <a:solidFill>
            <a:srgbClr val="7030A0"/>
          </a:solidFill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26380</xdr:colOff>
      <xdr:row>28</xdr:row>
      <xdr:rowOff>27257</xdr:rowOff>
    </xdr:from>
    <xdr:to>
      <xdr:col>6</xdr:col>
      <xdr:colOff>216880</xdr:colOff>
      <xdr:row>30</xdr:row>
      <xdr:rowOff>202407</xdr:rowOff>
    </xdr:to>
    <xdr:sp macro="" textlink="">
      <xdr:nvSpPr>
        <xdr:cNvPr id="7" name="Left Brace 6">
          <a:extLst>
            <a:ext uri="{FF2B5EF4-FFF2-40B4-BE49-F238E27FC236}">
              <a16:creationId xmlns:a16="http://schemas.microsoft.com/office/drawing/2014/main" id="{A1D99EEA-6F78-4A09-BE98-9D39FB3C66A7}"/>
            </a:ext>
          </a:extLst>
        </xdr:cNvPr>
        <xdr:cNvSpPr/>
      </xdr:nvSpPr>
      <xdr:spPr>
        <a:xfrm>
          <a:off x="7217755" y="6428057"/>
          <a:ext cx="190500" cy="632350"/>
        </a:xfrm>
        <a:prstGeom prst="leftBrace">
          <a:avLst/>
        </a:prstGeom>
        <a:ln w="53975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190496</xdr:colOff>
      <xdr:row>28</xdr:row>
      <xdr:rowOff>26194</xdr:rowOff>
    </xdr:from>
    <xdr:to>
      <xdr:col>5</xdr:col>
      <xdr:colOff>389279</xdr:colOff>
      <xdr:row>30</xdr:row>
      <xdr:rowOff>200025</xdr:rowOff>
    </xdr:to>
    <xdr:sp macro="" textlink="">
      <xdr:nvSpPr>
        <xdr:cNvPr id="8" name="Left Brace 7">
          <a:extLst>
            <a:ext uri="{FF2B5EF4-FFF2-40B4-BE49-F238E27FC236}">
              <a16:creationId xmlns:a16="http://schemas.microsoft.com/office/drawing/2014/main" id="{DC0CA8BD-BC26-408B-B145-D9E644CF8819}"/>
            </a:ext>
          </a:extLst>
        </xdr:cNvPr>
        <xdr:cNvSpPr/>
      </xdr:nvSpPr>
      <xdr:spPr>
        <a:xfrm flipH="1">
          <a:off x="6324596" y="6426994"/>
          <a:ext cx="198783" cy="631031"/>
        </a:xfrm>
        <a:prstGeom prst="leftBrace">
          <a:avLst/>
        </a:prstGeom>
        <a:ln w="53975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12</xdr:col>
      <xdr:colOff>0</xdr:colOff>
      <xdr:row>47</xdr:row>
      <xdr:rowOff>0</xdr:rowOff>
    </xdr:from>
    <xdr:to>
      <xdr:col>29</xdr:col>
      <xdr:colOff>113899</xdr:colOff>
      <xdr:row>50</xdr:row>
      <xdr:rowOff>89552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8C9354A-9E2C-5931-F5E9-C2A822C7A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08206" y="3753971"/>
          <a:ext cx="12171428" cy="76190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56</xdr:row>
      <xdr:rowOff>0</xdr:rowOff>
    </xdr:from>
    <xdr:to>
      <xdr:col>29</xdr:col>
      <xdr:colOff>399614</xdr:colOff>
      <xdr:row>60</xdr:row>
      <xdr:rowOff>179719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E918ABB-1A03-6602-D1B0-72076B18D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08206" y="5434853"/>
          <a:ext cx="12457143" cy="107619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65</xdr:row>
      <xdr:rowOff>0</xdr:rowOff>
    </xdr:from>
    <xdr:to>
      <xdr:col>28</xdr:col>
      <xdr:colOff>595208</xdr:colOff>
      <xdr:row>68</xdr:row>
      <xdr:rowOff>194314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EA3776F-DE84-3249-1612-DED60B40D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108206" y="7451912"/>
          <a:ext cx="12047619" cy="866667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74</xdr:row>
      <xdr:rowOff>0</xdr:rowOff>
    </xdr:from>
    <xdr:to>
      <xdr:col>29</xdr:col>
      <xdr:colOff>342471</xdr:colOff>
      <xdr:row>76</xdr:row>
      <xdr:rowOff>113670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C4FFDA4-E011-D9C5-30F6-5395FB51F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108206" y="9110382"/>
          <a:ext cx="12400000" cy="56190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84</xdr:row>
      <xdr:rowOff>0</xdr:rowOff>
    </xdr:from>
    <xdr:to>
      <xdr:col>29</xdr:col>
      <xdr:colOff>104376</xdr:colOff>
      <xdr:row>88</xdr:row>
      <xdr:rowOff>132100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FD44D3C-02B6-589D-45FE-ED7594A6E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108206" y="10903324"/>
          <a:ext cx="12161905" cy="102857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94</xdr:row>
      <xdr:rowOff>0</xdr:rowOff>
    </xdr:from>
    <xdr:to>
      <xdr:col>28</xdr:col>
      <xdr:colOff>347589</xdr:colOff>
      <xdr:row>98</xdr:row>
      <xdr:rowOff>84481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67B9F783-05D6-CC77-416C-4986CF927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108206" y="13144500"/>
          <a:ext cx="11800000" cy="980952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104</xdr:row>
      <xdr:rowOff>0</xdr:rowOff>
    </xdr:from>
    <xdr:to>
      <xdr:col>29</xdr:col>
      <xdr:colOff>28185</xdr:colOff>
      <xdr:row>109</xdr:row>
      <xdr:rowOff>41317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59FA92E4-1A89-F82A-F114-935B335EC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108206" y="15385676"/>
          <a:ext cx="12085714" cy="116190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102</xdr:row>
      <xdr:rowOff>67235</xdr:rowOff>
    </xdr:from>
    <xdr:to>
      <xdr:col>27</xdr:col>
      <xdr:colOff>162230</xdr:colOff>
      <xdr:row>104</xdr:row>
      <xdr:rowOff>28523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9B7F1-8D83-42D0-7F09-FD289784E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108206" y="15004676"/>
          <a:ext cx="11009524" cy="409524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92</xdr:row>
      <xdr:rowOff>67236</xdr:rowOff>
    </xdr:from>
    <xdr:to>
      <xdr:col>20</xdr:col>
      <xdr:colOff>112339</xdr:colOff>
      <xdr:row>94</xdr:row>
      <xdr:rowOff>38049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5255B6A5-07C1-1760-30E3-F90F63D5A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108206" y="12763501"/>
          <a:ext cx="6723809" cy="419048"/>
        </a:xfrm>
        <a:prstGeom prst="rect">
          <a:avLst/>
        </a:prstGeom>
      </xdr:spPr>
    </xdr:pic>
    <xdr:clientData/>
  </xdr:twoCellAnchor>
  <xdr:twoCellAnchor editAs="oneCell">
    <xdr:from>
      <xdr:col>12</xdr:col>
      <xdr:colOff>22412</xdr:colOff>
      <xdr:row>82</xdr:row>
      <xdr:rowOff>145677</xdr:rowOff>
    </xdr:from>
    <xdr:to>
      <xdr:col>15</xdr:col>
      <xdr:colOff>243827</xdr:colOff>
      <xdr:row>84</xdr:row>
      <xdr:rowOff>97442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B4084B7-E710-CDE0-9ED0-E628AC859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130618" y="10600765"/>
          <a:ext cx="3695238" cy="40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33617</xdr:colOff>
      <xdr:row>72</xdr:row>
      <xdr:rowOff>100852</xdr:rowOff>
    </xdr:from>
    <xdr:to>
      <xdr:col>15</xdr:col>
      <xdr:colOff>550270</xdr:colOff>
      <xdr:row>74</xdr:row>
      <xdr:rowOff>62140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809639EA-09A9-E1A7-ADFF-8DCF5D688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141823" y="15262411"/>
          <a:ext cx="3990476" cy="409524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54</xdr:row>
      <xdr:rowOff>145676</xdr:rowOff>
    </xdr:from>
    <xdr:to>
      <xdr:col>21</xdr:col>
      <xdr:colOff>259602</xdr:colOff>
      <xdr:row>56</xdr:row>
      <xdr:rowOff>116489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EDA6436-5936-68AC-0897-5938CC6ED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108206" y="5042647"/>
          <a:ext cx="7476190" cy="41904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45</xdr:row>
      <xdr:rowOff>67235</xdr:rowOff>
    </xdr:from>
    <xdr:to>
      <xdr:col>20</xdr:col>
      <xdr:colOff>274244</xdr:colOff>
      <xdr:row>47</xdr:row>
      <xdr:rowOff>9476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E8761CD-E94A-0870-89FA-E31F58E0A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4108206" y="3350559"/>
          <a:ext cx="6885714" cy="390476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112</xdr:row>
      <xdr:rowOff>0</xdr:rowOff>
    </xdr:from>
    <xdr:to>
      <xdr:col>17</xdr:col>
      <xdr:colOff>346740</xdr:colOff>
      <xdr:row>113</xdr:row>
      <xdr:rowOff>194930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AB21CA47-B69F-E913-8383-5728F9D52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4108206" y="16954500"/>
          <a:ext cx="5142857" cy="41904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118</xdr:row>
      <xdr:rowOff>0</xdr:rowOff>
    </xdr:from>
    <xdr:to>
      <xdr:col>28</xdr:col>
      <xdr:colOff>585684</xdr:colOff>
      <xdr:row>141</xdr:row>
      <xdr:rowOff>216723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443F2E04-B8C3-7BB0-987C-7ACF0CE6A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108206" y="18299206"/>
          <a:ext cx="12038095" cy="5371429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144</xdr:row>
      <xdr:rowOff>0</xdr:rowOff>
    </xdr:from>
    <xdr:to>
      <xdr:col>28</xdr:col>
      <xdr:colOff>585684</xdr:colOff>
      <xdr:row>167</xdr:row>
      <xdr:rowOff>216724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6C58D42A-2E34-7279-CA33-969289B8B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108206" y="24126265"/>
          <a:ext cx="12038095" cy="5371429"/>
        </a:xfrm>
        <a:prstGeom prst="rect">
          <a:avLst/>
        </a:prstGeom>
      </xdr:spPr>
    </xdr:pic>
    <xdr:clientData/>
  </xdr:twoCellAnchor>
  <xdr:twoCellAnchor editAs="oneCell">
    <xdr:from>
      <xdr:col>18</xdr:col>
      <xdr:colOff>358589</xdr:colOff>
      <xdr:row>76</xdr:row>
      <xdr:rowOff>145677</xdr:rowOff>
    </xdr:from>
    <xdr:to>
      <xdr:col>22</xdr:col>
      <xdr:colOff>195261</xdr:colOff>
      <xdr:row>78</xdr:row>
      <xdr:rowOff>225160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0FA3FC0-7246-CE96-C438-2BD701FD5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352560" y="16203706"/>
          <a:ext cx="2257143" cy="628571"/>
        </a:xfrm>
        <a:prstGeom prst="rect">
          <a:avLst/>
        </a:prstGeom>
      </xdr:spPr>
    </xdr:pic>
    <xdr:clientData/>
  </xdr:twoCellAnchor>
  <xdr:oneCellAnchor>
    <xdr:from>
      <xdr:col>32</xdr:col>
      <xdr:colOff>0</xdr:colOff>
      <xdr:row>47</xdr:row>
      <xdr:rowOff>0</xdr:rowOff>
    </xdr:from>
    <xdr:ext cx="12171428" cy="761905"/>
    <xdr:pic>
      <xdr:nvPicPr>
        <xdr:cNvPr id="44" name="Picture 43">
          <a:extLst>
            <a:ext uri="{FF2B5EF4-FFF2-40B4-BE49-F238E27FC236}">
              <a16:creationId xmlns:a16="http://schemas.microsoft.com/office/drawing/2014/main" id="{915C47DB-511F-4C83-AA65-7BE5457E1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29765" y="11004176"/>
          <a:ext cx="12171428" cy="761905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56</xdr:row>
      <xdr:rowOff>0</xdr:rowOff>
    </xdr:from>
    <xdr:ext cx="12457143" cy="1076190"/>
    <xdr:pic>
      <xdr:nvPicPr>
        <xdr:cNvPr id="45" name="Picture 44">
          <a:extLst>
            <a:ext uri="{FF2B5EF4-FFF2-40B4-BE49-F238E27FC236}">
              <a16:creationId xmlns:a16="http://schemas.microsoft.com/office/drawing/2014/main" id="{1C7F5662-A533-4F90-8B04-02E72B871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29765" y="13122088"/>
          <a:ext cx="12457143" cy="107619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65</xdr:row>
      <xdr:rowOff>0</xdr:rowOff>
    </xdr:from>
    <xdr:ext cx="12047619" cy="866667"/>
    <xdr:pic>
      <xdr:nvPicPr>
        <xdr:cNvPr id="46" name="Picture 45">
          <a:extLst>
            <a:ext uri="{FF2B5EF4-FFF2-40B4-BE49-F238E27FC236}">
              <a16:creationId xmlns:a16="http://schemas.microsoft.com/office/drawing/2014/main" id="{B57CF935-D103-41EC-92A4-0B001D639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029765" y="15240000"/>
          <a:ext cx="12047619" cy="866667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74</xdr:row>
      <xdr:rowOff>0</xdr:rowOff>
    </xdr:from>
    <xdr:ext cx="12400000" cy="561905"/>
    <xdr:pic>
      <xdr:nvPicPr>
        <xdr:cNvPr id="47" name="Picture 46">
          <a:extLst>
            <a:ext uri="{FF2B5EF4-FFF2-40B4-BE49-F238E27FC236}">
              <a16:creationId xmlns:a16="http://schemas.microsoft.com/office/drawing/2014/main" id="{69CD4CD0-0981-4E8B-8BA8-4CD625EC2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029765" y="17357912"/>
          <a:ext cx="12400000" cy="561905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84</xdr:row>
      <xdr:rowOff>0</xdr:rowOff>
    </xdr:from>
    <xdr:ext cx="12161905" cy="1028571"/>
    <xdr:pic>
      <xdr:nvPicPr>
        <xdr:cNvPr id="48" name="Picture 47">
          <a:extLst>
            <a:ext uri="{FF2B5EF4-FFF2-40B4-BE49-F238E27FC236}">
              <a16:creationId xmlns:a16="http://schemas.microsoft.com/office/drawing/2014/main" id="{4B2ED094-7270-4F34-A49E-E70098DCE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029765" y="19901647"/>
          <a:ext cx="12161905" cy="1028571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94</xdr:row>
      <xdr:rowOff>0</xdr:rowOff>
    </xdr:from>
    <xdr:ext cx="11800000" cy="980952"/>
    <xdr:pic>
      <xdr:nvPicPr>
        <xdr:cNvPr id="49" name="Picture 48">
          <a:extLst>
            <a:ext uri="{FF2B5EF4-FFF2-40B4-BE49-F238E27FC236}">
              <a16:creationId xmlns:a16="http://schemas.microsoft.com/office/drawing/2014/main" id="{171DF241-91E7-4145-97B2-6C7B8DF3E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029765" y="22243676"/>
          <a:ext cx="11800000" cy="980952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104</xdr:row>
      <xdr:rowOff>0</xdr:rowOff>
    </xdr:from>
    <xdr:ext cx="12085714" cy="1161905"/>
    <xdr:pic>
      <xdr:nvPicPr>
        <xdr:cNvPr id="50" name="Picture 49">
          <a:extLst>
            <a:ext uri="{FF2B5EF4-FFF2-40B4-BE49-F238E27FC236}">
              <a16:creationId xmlns:a16="http://schemas.microsoft.com/office/drawing/2014/main" id="{BFA59E89-2009-4B22-AF9E-A1D98A7B5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029765" y="24596912"/>
          <a:ext cx="12085714" cy="1161905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102</xdr:row>
      <xdr:rowOff>67235</xdr:rowOff>
    </xdr:from>
    <xdr:ext cx="11009524" cy="409524"/>
    <xdr:pic>
      <xdr:nvPicPr>
        <xdr:cNvPr id="51" name="Picture 50">
          <a:extLst>
            <a:ext uri="{FF2B5EF4-FFF2-40B4-BE49-F238E27FC236}">
              <a16:creationId xmlns:a16="http://schemas.microsoft.com/office/drawing/2014/main" id="{5A7DBB72-CEFA-419B-99B6-9E17F215D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029765" y="24215911"/>
          <a:ext cx="11009524" cy="409524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92</xdr:row>
      <xdr:rowOff>67236</xdr:rowOff>
    </xdr:from>
    <xdr:ext cx="6723809" cy="419048"/>
    <xdr:pic>
      <xdr:nvPicPr>
        <xdr:cNvPr id="52" name="Picture 51">
          <a:extLst>
            <a:ext uri="{FF2B5EF4-FFF2-40B4-BE49-F238E27FC236}">
              <a16:creationId xmlns:a16="http://schemas.microsoft.com/office/drawing/2014/main" id="{A32B81E4-23DB-467E-8AA1-7C6C74925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029765" y="21862677"/>
          <a:ext cx="6723809" cy="419048"/>
        </a:xfrm>
        <a:prstGeom prst="rect">
          <a:avLst/>
        </a:prstGeom>
      </xdr:spPr>
    </xdr:pic>
    <xdr:clientData/>
  </xdr:oneCellAnchor>
  <xdr:oneCellAnchor>
    <xdr:from>
      <xdr:col>32</xdr:col>
      <xdr:colOff>22412</xdr:colOff>
      <xdr:row>82</xdr:row>
      <xdr:rowOff>145677</xdr:rowOff>
    </xdr:from>
    <xdr:ext cx="3695238" cy="400000"/>
    <xdr:pic>
      <xdr:nvPicPr>
        <xdr:cNvPr id="53" name="Picture 52">
          <a:extLst>
            <a:ext uri="{FF2B5EF4-FFF2-40B4-BE49-F238E27FC236}">
              <a16:creationId xmlns:a16="http://schemas.microsoft.com/office/drawing/2014/main" id="{EA3E11AA-765C-4CEC-BEE7-AD2EAF938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052177" y="19599089"/>
          <a:ext cx="3695238" cy="400000"/>
        </a:xfrm>
        <a:prstGeom prst="rect">
          <a:avLst/>
        </a:prstGeom>
      </xdr:spPr>
    </xdr:pic>
    <xdr:clientData/>
  </xdr:oneCellAnchor>
  <xdr:oneCellAnchor>
    <xdr:from>
      <xdr:col>32</xdr:col>
      <xdr:colOff>33617</xdr:colOff>
      <xdr:row>72</xdr:row>
      <xdr:rowOff>100852</xdr:rowOff>
    </xdr:from>
    <xdr:ext cx="3990476" cy="409524"/>
    <xdr:pic>
      <xdr:nvPicPr>
        <xdr:cNvPr id="54" name="Picture 53">
          <a:extLst>
            <a:ext uri="{FF2B5EF4-FFF2-40B4-BE49-F238E27FC236}">
              <a16:creationId xmlns:a16="http://schemas.microsoft.com/office/drawing/2014/main" id="{57DA7E7D-5F67-41DF-ADA6-6C018D56C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063382" y="17010528"/>
          <a:ext cx="3990476" cy="409524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54</xdr:row>
      <xdr:rowOff>145676</xdr:rowOff>
    </xdr:from>
    <xdr:ext cx="7476190" cy="419048"/>
    <xdr:pic>
      <xdr:nvPicPr>
        <xdr:cNvPr id="55" name="Picture 54">
          <a:extLst>
            <a:ext uri="{FF2B5EF4-FFF2-40B4-BE49-F238E27FC236}">
              <a16:creationId xmlns:a16="http://schemas.microsoft.com/office/drawing/2014/main" id="{AEC2BC99-CBBC-4DD4-8877-13C69D8A9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029765" y="12819529"/>
          <a:ext cx="7476190" cy="419048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45</xdr:row>
      <xdr:rowOff>67235</xdr:rowOff>
    </xdr:from>
    <xdr:ext cx="6885714" cy="390476"/>
    <xdr:pic>
      <xdr:nvPicPr>
        <xdr:cNvPr id="56" name="Picture 55">
          <a:extLst>
            <a:ext uri="{FF2B5EF4-FFF2-40B4-BE49-F238E27FC236}">
              <a16:creationId xmlns:a16="http://schemas.microsoft.com/office/drawing/2014/main" id="{E1D76CFC-150E-4C6C-823C-839EB5D22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4029765" y="10623176"/>
          <a:ext cx="6885714" cy="390476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112</xdr:row>
      <xdr:rowOff>0</xdr:rowOff>
    </xdr:from>
    <xdr:ext cx="5142857" cy="419048"/>
    <xdr:pic>
      <xdr:nvPicPr>
        <xdr:cNvPr id="57" name="Picture 56">
          <a:extLst>
            <a:ext uri="{FF2B5EF4-FFF2-40B4-BE49-F238E27FC236}">
              <a16:creationId xmlns:a16="http://schemas.microsoft.com/office/drawing/2014/main" id="{CC1EC5F3-605B-44E7-9380-EAD82401B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4029765" y="26490706"/>
          <a:ext cx="5142857" cy="419048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118</xdr:row>
      <xdr:rowOff>0</xdr:rowOff>
    </xdr:from>
    <xdr:ext cx="12038095" cy="5371429"/>
    <xdr:pic>
      <xdr:nvPicPr>
        <xdr:cNvPr id="58" name="Picture 57">
          <a:extLst>
            <a:ext uri="{FF2B5EF4-FFF2-40B4-BE49-F238E27FC236}">
              <a16:creationId xmlns:a16="http://schemas.microsoft.com/office/drawing/2014/main" id="{16622BBF-8A7C-4A2F-BF54-47B4CA1C5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029765" y="27936265"/>
          <a:ext cx="12038095" cy="5371429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144</xdr:row>
      <xdr:rowOff>0</xdr:rowOff>
    </xdr:from>
    <xdr:ext cx="12038095" cy="5371429"/>
    <xdr:pic>
      <xdr:nvPicPr>
        <xdr:cNvPr id="59" name="Picture 58">
          <a:extLst>
            <a:ext uri="{FF2B5EF4-FFF2-40B4-BE49-F238E27FC236}">
              <a16:creationId xmlns:a16="http://schemas.microsoft.com/office/drawing/2014/main" id="{787B5FBA-99C0-47EF-AE4E-EF7A5D032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029765" y="33763324"/>
          <a:ext cx="12038095" cy="5371429"/>
        </a:xfrm>
        <a:prstGeom prst="rect">
          <a:avLst/>
        </a:prstGeom>
      </xdr:spPr>
    </xdr:pic>
    <xdr:clientData/>
  </xdr:oneCellAnchor>
  <xdr:oneCellAnchor>
    <xdr:from>
      <xdr:col>38</xdr:col>
      <xdr:colOff>358589</xdr:colOff>
      <xdr:row>76</xdr:row>
      <xdr:rowOff>145677</xdr:rowOff>
    </xdr:from>
    <xdr:ext cx="2257143" cy="628571"/>
    <xdr:pic>
      <xdr:nvPicPr>
        <xdr:cNvPr id="60" name="Picture 59">
          <a:extLst>
            <a:ext uri="{FF2B5EF4-FFF2-40B4-BE49-F238E27FC236}">
              <a16:creationId xmlns:a16="http://schemas.microsoft.com/office/drawing/2014/main" id="{D43D74F0-0211-4F3A-B873-F74C7E719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789589" y="17951824"/>
          <a:ext cx="2257143" cy="62857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866775</xdr:colOff>
      <xdr:row>1</xdr:row>
      <xdr:rowOff>238124</xdr:rowOff>
    </xdr:from>
    <xdr:to>
      <xdr:col>10</xdr:col>
      <xdr:colOff>862397</xdr:colOff>
      <xdr:row>14</xdr:row>
      <xdr:rowOff>14017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5DFA23-8B17-4C9E-86AE-AE5E9BF30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0" y="476249"/>
          <a:ext cx="2272097" cy="2852468"/>
        </a:xfrm>
        <a:prstGeom prst="rect">
          <a:avLst/>
        </a:prstGeom>
      </xdr:spPr>
    </xdr:pic>
    <xdr:clientData/>
  </xdr:twoCellAnchor>
  <xdr:twoCellAnchor>
    <xdr:from>
      <xdr:col>5</xdr:col>
      <xdr:colOff>395035</xdr:colOff>
      <xdr:row>3</xdr:row>
      <xdr:rowOff>85512</xdr:rowOff>
    </xdr:from>
    <xdr:to>
      <xdr:col>7</xdr:col>
      <xdr:colOff>1742969</xdr:colOff>
      <xdr:row>16</xdr:row>
      <xdr:rowOff>156308</xdr:rowOff>
    </xdr:to>
    <xdr:sp macro="" textlink="">
      <xdr:nvSpPr>
        <xdr:cNvPr id="5" name="Freeform: Shape 4">
          <a:extLst>
            <a:ext uri="{FF2B5EF4-FFF2-40B4-BE49-F238E27FC236}">
              <a16:creationId xmlns:a16="http://schemas.microsoft.com/office/drawing/2014/main" id="{395BF763-D8DB-440E-99CB-C3026320755A}"/>
            </a:ext>
          </a:extLst>
        </xdr:cNvPr>
        <xdr:cNvSpPr/>
      </xdr:nvSpPr>
      <xdr:spPr>
        <a:xfrm>
          <a:off x="7163388" y="556159"/>
          <a:ext cx="3454640" cy="2692973"/>
        </a:xfrm>
        <a:custGeom>
          <a:avLst/>
          <a:gdLst>
            <a:gd name="connsiteX0" fmla="*/ 1952625 w 2819400"/>
            <a:gd name="connsiteY0" fmla="*/ 0 h 3057525"/>
            <a:gd name="connsiteX1" fmla="*/ 2819400 w 2819400"/>
            <a:gd name="connsiteY1" fmla="*/ 161925 h 3057525"/>
            <a:gd name="connsiteX2" fmla="*/ 1619250 w 2819400"/>
            <a:gd name="connsiteY2" fmla="*/ 2028825 h 3057525"/>
            <a:gd name="connsiteX3" fmla="*/ 0 w 2819400"/>
            <a:gd name="connsiteY3" fmla="*/ 3057525 h 3057525"/>
            <a:gd name="connsiteX0" fmla="*/ 1952625 w 2609850"/>
            <a:gd name="connsiteY0" fmla="*/ 0 h 3057525"/>
            <a:gd name="connsiteX1" fmla="*/ 2609850 w 2609850"/>
            <a:gd name="connsiteY1" fmla="*/ 266700 h 3057525"/>
            <a:gd name="connsiteX2" fmla="*/ 1619250 w 2609850"/>
            <a:gd name="connsiteY2" fmla="*/ 2028825 h 3057525"/>
            <a:gd name="connsiteX3" fmla="*/ 0 w 2609850"/>
            <a:gd name="connsiteY3" fmla="*/ 3057525 h 3057525"/>
            <a:gd name="connsiteX0" fmla="*/ 1952625 w 2633210"/>
            <a:gd name="connsiteY0" fmla="*/ 0 h 3057525"/>
            <a:gd name="connsiteX1" fmla="*/ 2609850 w 2633210"/>
            <a:gd name="connsiteY1" fmla="*/ 266700 h 3057525"/>
            <a:gd name="connsiteX2" fmla="*/ 1619250 w 2633210"/>
            <a:gd name="connsiteY2" fmla="*/ 2028825 h 3057525"/>
            <a:gd name="connsiteX3" fmla="*/ 0 w 2633210"/>
            <a:gd name="connsiteY3" fmla="*/ 3057525 h 3057525"/>
            <a:gd name="connsiteX0" fmla="*/ 1952625 w 2624685"/>
            <a:gd name="connsiteY0" fmla="*/ 0 h 3057525"/>
            <a:gd name="connsiteX1" fmla="*/ 2609850 w 2624685"/>
            <a:gd name="connsiteY1" fmla="*/ 266700 h 3057525"/>
            <a:gd name="connsiteX2" fmla="*/ 1619250 w 2624685"/>
            <a:gd name="connsiteY2" fmla="*/ 2028825 h 3057525"/>
            <a:gd name="connsiteX3" fmla="*/ 0 w 2624685"/>
            <a:gd name="connsiteY3" fmla="*/ 3057525 h 3057525"/>
            <a:gd name="connsiteX0" fmla="*/ 1952625 w 2624685"/>
            <a:gd name="connsiteY0" fmla="*/ 31805 h 3089330"/>
            <a:gd name="connsiteX1" fmla="*/ 2609850 w 2624685"/>
            <a:gd name="connsiteY1" fmla="*/ 298505 h 3089330"/>
            <a:gd name="connsiteX2" fmla="*/ 1619250 w 2624685"/>
            <a:gd name="connsiteY2" fmla="*/ 2060630 h 3089330"/>
            <a:gd name="connsiteX3" fmla="*/ 0 w 2624685"/>
            <a:gd name="connsiteY3" fmla="*/ 3089330 h 3089330"/>
            <a:gd name="connsiteX0" fmla="*/ 1952625 w 2624685"/>
            <a:gd name="connsiteY0" fmla="*/ 0 h 3057525"/>
            <a:gd name="connsiteX1" fmla="*/ 2609850 w 2624685"/>
            <a:gd name="connsiteY1" fmla="*/ 266700 h 3057525"/>
            <a:gd name="connsiteX2" fmla="*/ 1619250 w 2624685"/>
            <a:gd name="connsiteY2" fmla="*/ 2028825 h 3057525"/>
            <a:gd name="connsiteX3" fmla="*/ 0 w 2624685"/>
            <a:gd name="connsiteY3" fmla="*/ 3057525 h 3057525"/>
            <a:gd name="connsiteX0" fmla="*/ 1952625 w 2624685"/>
            <a:gd name="connsiteY0" fmla="*/ 27576 h 3085101"/>
            <a:gd name="connsiteX1" fmla="*/ 2609850 w 2624685"/>
            <a:gd name="connsiteY1" fmla="*/ 294276 h 3085101"/>
            <a:gd name="connsiteX2" fmla="*/ 1619250 w 2624685"/>
            <a:gd name="connsiteY2" fmla="*/ 2056401 h 3085101"/>
            <a:gd name="connsiteX3" fmla="*/ 0 w 2624685"/>
            <a:gd name="connsiteY3" fmla="*/ 3085101 h 3085101"/>
            <a:gd name="connsiteX0" fmla="*/ 1819275 w 2611281"/>
            <a:gd name="connsiteY0" fmla="*/ 16879 h 3102979"/>
            <a:gd name="connsiteX1" fmla="*/ 2609850 w 2611281"/>
            <a:gd name="connsiteY1" fmla="*/ 312154 h 3102979"/>
            <a:gd name="connsiteX2" fmla="*/ 1619250 w 2611281"/>
            <a:gd name="connsiteY2" fmla="*/ 2074279 h 3102979"/>
            <a:gd name="connsiteX3" fmla="*/ 0 w 2611281"/>
            <a:gd name="connsiteY3" fmla="*/ 3102979 h 3102979"/>
            <a:gd name="connsiteX0" fmla="*/ 1819275 w 2611818"/>
            <a:gd name="connsiteY0" fmla="*/ 0 h 3086100"/>
            <a:gd name="connsiteX1" fmla="*/ 2609850 w 2611818"/>
            <a:gd name="connsiteY1" fmla="*/ 295275 h 3086100"/>
            <a:gd name="connsiteX2" fmla="*/ 1619250 w 2611818"/>
            <a:gd name="connsiteY2" fmla="*/ 2057400 h 3086100"/>
            <a:gd name="connsiteX3" fmla="*/ 0 w 2611818"/>
            <a:gd name="connsiteY3" fmla="*/ 3086100 h 3086100"/>
            <a:gd name="connsiteX0" fmla="*/ 1819275 w 2621300"/>
            <a:gd name="connsiteY0" fmla="*/ 0 h 3086100"/>
            <a:gd name="connsiteX1" fmla="*/ 2619375 w 2621300"/>
            <a:gd name="connsiteY1" fmla="*/ 428625 h 3086100"/>
            <a:gd name="connsiteX2" fmla="*/ 1619250 w 2621300"/>
            <a:gd name="connsiteY2" fmla="*/ 2057400 h 3086100"/>
            <a:gd name="connsiteX3" fmla="*/ 0 w 2621300"/>
            <a:gd name="connsiteY3" fmla="*/ 3086100 h 3086100"/>
            <a:gd name="connsiteX0" fmla="*/ 2619375 w 2619375"/>
            <a:gd name="connsiteY0" fmla="*/ 0 h 2657475"/>
            <a:gd name="connsiteX1" fmla="*/ 1619250 w 2619375"/>
            <a:gd name="connsiteY1" fmla="*/ 1628775 h 2657475"/>
            <a:gd name="connsiteX2" fmla="*/ 0 w 2619375"/>
            <a:gd name="connsiteY2" fmla="*/ 2657475 h 2657475"/>
            <a:gd name="connsiteX0" fmla="*/ 1619250 w 1619250"/>
            <a:gd name="connsiteY0" fmla="*/ 0 h 1028700"/>
            <a:gd name="connsiteX1" fmla="*/ 0 w 1619250"/>
            <a:gd name="connsiteY1" fmla="*/ 1028700 h 1028700"/>
            <a:gd name="connsiteX0" fmla="*/ 1209675 w 1209675"/>
            <a:gd name="connsiteY0" fmla="*/ 0 h 1333500"/>
            <a:gd name="connsiteX1" fmla="*/ 0 w 1209675"/>
            <a:gd name="connsiteY1" fmla="*/ 1333500 h 1333500"/>
            <a:gd name="connsiteX0" fmla="*/ 122460 w 223190"/>
            <a:gd name="connsiteY0" fmla="*/ 0 h 1133475"/>
            <a:gd name="connsiteX1" fmla="*/ 27210 w 223190"/>
            <a:gd name="connsiteY1" fmla="*/ 1133475 h 1133475"/>
            <a:gd name="connsiteX0" fmla="*/ 614517 w 614517"/>
            <a:gd name="connsiteY0" fmla="*/ 0 h 1133475"/>
            <a:gd name="connsiteX1" fmla="*/ 519267 w 614517"/>
            <a:gd name="connsiteY1" fmla="*/ 1133475 h 1133475"/>
            <a:gd name="connsiteX0" fmla="*/ 558708 w 558708"/>
            <a:gd name="connsiteY0" fmla="*/ 0 h 1247775"/>
            <a:gd name="connsiteX1" fmla="*/ 549183 w 558708"/>
            <a:gd name="connsiteY1" fmla="*/ 1247775 h 1247775"/>
            <a:gd name="connsiteX0" fmla="*/ 506303 w 581802"/>
            <a:gd name="connsiteY0" fmla="*/ 0 h 1178612"/>
            <a:gd name="connsiteX1" fmla="*/ 581802 w 581802"/>
            <a:gd name="connsiteY1" fmla="*/ 1178612 h 1178612"/>
            <a:gd name="connsiteX0" fmla="*/ 487173 w 595063"/>
            <a:gd name="connsiteY0" fmla="*/ 0 h 1162338"/>
            <a:gd name="connsiteX1" fmla="*/ 595063 w 595063"/>
            <a:gd name="connsiteY1" fmla="*/ 1162338 h 1162338"/>
            <a:gd name="connsiteX0" fmla="*/ 320773 w 762016"/>
            <a:gd name="connsiteY0" fmla="*/ 0 h 1190905"/>
            <a:gd name="connsiteX1" fmla="*/ 762016 w 762016"/>
            <a:gd name="connsiteY1" fmla="*/ 1190905 h 1190905"/>
            <a:gd name="connsiteX0" fmla="*/ 208292 w 1001937"/>
            <a:gd name="connsiteY0" fmla="*/ 0 h 1286129"/>
            <a:gd name="connsiteX1" fmla="*/ 1001937 w 1001937"/>
            <a:gd name="connsiteY1" fmla="*/ 1286129 h 1286129"/>
            <a:gd name="connsiteX0" fmla="*/ 98742 w 892387"/>
            <a:gd name="connsiteY0" fmla="*/ 0 h 1286129"/>
            <a:gd name="connsiteX1" fmla="*/ 892387 w 892387"/>
            <a:gd name="connsiteY1" fmla="*/ 1286129 h 1286129"/>
            <a:gd name="connsiteX0" fmla="*/ 89337 w 886454"/>
            <a:gd name="connsiteY0" fmla="*/ 0 h 1286129"/>
            <a:gd name="connsiteX1" fmla="*/ 882982 w 886454"/>
            <a:gd name="connsiteY1" fmla="*/ 1286129 h 1286129"/>
            <a:gd name="connsiteX0" fmla="*/ 0 w 797132"/>
            <a:gd name="connsiteY0" fmla="*/ 0 h 1286129"/>
            <a:gd name="connsiteX1" fmla="*/ 550982 w 797132"/>
            <a:gd name="connsiteY1" fmla="*/ 676089 h 1286129"/>
            <a:gd name="connsiteX2" fmla="*/ 793645 w 797132"/>
            <a:gd name="connsiteY2" fmla="*/ 1286129 h 1286129"/>
            <a:gd name="connsiteX0" fmla="*/ 124024 w 920416"/>
            <a:gd name="connsiteY0" fmla="*/ 0 h 1286129"/>
            <a:gd name="connsiteX1" fmla="*/ 313080 w 920416"/>
            <a:gd name="connsiteY1" fmla="*/ 1123642 h 1286129"/>
            <a:gd name="connsiteX2" fmla="*/ 917669 w 920416"/>
            <a:gd name="connsiteY2" fmla="*/ 1286129 h 1286129"/>
            <a:gd name="connsiteX0" fmla="*/ 0 w 850602"/>
            <a:gd name="connsiteY0" fmla="*/ 0 h 1286129"/>
            <a:gd name="connsiteX1" fmla="*/ 189056 w 850602"/>
            <a:gd name="connsiteY1" fmla="*/ 1123642 h 1286129"/>
            <a:gd name="connsiteX2" fmla="*/ 793645 w 850602"/>
            <a:gd name="connsiteY2" fmla="*/ 1286129 h 1286129"/>
            <a:gd name="connsiteX0" fmla="*/ 0 w 1055621"/>
            <a:gd name="connsiteY0" fmla="*/ 0 h 1286129"/>
            <a:gd name="connsiteX1" fmla="*/ 627177 w 1055621"/>
            <a:gd name="connsiteY1" fmla="*/ 457075 h 1286129"/>
            <a:gd name="connsiteX2" fmla="*/ 793645 w 1055621"/>
            <a:gd name="connsiteY2" fmla="*/ 1286129 h 1286129"/>
            <a:gd name="connsiteX0" fmla="*/ 0 w 835077"/>
            <a:gd name="connsiteY0" fmla="*/ 0 h 1286129"/>
            <a:gd name="connsiteX1" fmla="*/ 627177 w 835077"/>
            <a:gd name="connsiteY1" fmla="*/ 457075 h 1286129"/>
            <a:gd name="connsiteX2" fmla="*/ 793645 w 835077"/>
            <a:gd name="connsiteY2" fmla="*/ 1286129 h 1286129"/>
            <a:gd name="connsiteX0" fmla="*/ 0 w 835077"/>
            <a:gd name="connsiteY0" fmla="*/ 0 h 1286129"/>
            <a:gd name="connsiteX1" fmla="*/ 627177 w 835077"/>
            <a:gd name="connsiteY1" fmla="*/ 457075 h 1286129"/>
            <a:gd name="connsiteX2" fmla="*/ 793645 w 835077"/>
            <a:gd name="connsiteY2" fmla="*/ 1286129 h 1286129"/>
            <a:gd name="connsiteX0" fmla="*/ 0 w 1041416"/>
            <a:gd name="connsiteY0" fmla="*/ 0 h 1286129"/>
            <a:gd name="connsiteX1" fmla="*/ 963036 w 1041416"/>
            <a:gd name="connsiteY1" fmla="*/ 422251 h 1286129"/>
            <a:gd name="connsiteX2" fmla="*/ 793645 w 1041416"/>
            <a:gd name="connsiteY2" fmla="*/ 1286129 h 1286129"/>
            <a:gd name="connsiteX0" fmla="*/ 0 w 803685"/>
            <a:gd name="connsiteY0" fmla="*/ 0 h 1286129"/>
            <a:gd name="connsiteX1" fmla="*/ 241190 w 803685"/>
            <a:gd name="connsiteY1" fmla="*/ 407327 h 1286129"/>
            <a:gd name="connsiteX2" fmla="*/ 793645 w 803685"/>
            <a:gd name="connsiteY2" fmla="*/ 1286129 h 1286129"/>
            <a:gd name="connsiteX0" fmla="*/ 0 w 845623"/>
            <a:gd name="connsiteY0" fmla="*/ 0 h 1286129"/>
            <a:gd name="connsiteX1" fmla="*/ 662268 w 845623"/>
            <a:gd name="connsiteY1" fmla="*/ 422252 h 1286129"/>
            <a:gd name="connsiteX2" fmla="*/ 793645 w 845623"/>
            <a:gd name="connsiteY2" fmla="*/ 1286129 h 1286129"/>
            <a:gd name="connsiteX0" fmla="*/ 0 w 835597"/>
            <a:gd name="connsiteY0" fmla="*/ 0 h 947833"/>
            <a:gd name="connsiteX1" fmla="*/ 652242 w 835597"/>
            <a:gd name="connsiteY1" fmla="*/ 83956 h 947833"/>
            <a:gd name="connsiteX2" fmla="*/ 783619 w 835597"/>
            <a:gd name="connsiteY2" fmla="*/ 947833 h 947833"/>
            <a:gd name="connsiteX0" fmla="*/ 0 w 875699"/>
            <a:gd name="connsiteY0" fmla="*/ 0 h 1196580"/>
            <a:gd name="connsiteX1" fmla="*/ 692344 w 875699"/>
            <a:gd name="connsiteY1" fmla="*/ 332703 h 1196580"/>
            <a:gd name="connsiteX2" fmla="*/ 823721 w 875699"/>
            <a:gd name="connsiteY2" fmla="*/ 1196580 h 1196580"/>
            <a:gd name="connsiteX0" fmla="*/ 15317 w 891016"/>
            <a:gd name="connsiteY0" fmla="*/ 0 h 1196580"/>
            <a:gd name="connsiteX1" fmla="*/ 707661 w 891016"/>
            <a:gd name="connsiteY1" fmla="*/ 332703 h 1196580"/>
            <a:gd name="connsiteX2" fmla="*/ 839038 w 891016"/>
            <a:gd name="connsiteY2" fmla="*/ 1196580 h 1196580"/>
            <a:gd name="connsiteX0" fmla="*/ 15877 w 882359"/>
            <a:gd name="connsiteY0" fmla="*/ 0 h 1196580"/>
            <a:gd name="connsiteX1" fmla="*/ 678144 w 882359"/>
            <a:gd name="connsiteY1" fmla="*/ 263054 h 1196580"/>
            <a:gd name="connsiteX2" fmla="*/ 839598 w 882359"/>
            <a:gd name="connsiteY2" fmla="*/ 1196580 h 1196580"/>
            <a:gd name="connsiteX0" fmla="*/ 21199 w 887681"/>
            <a:gd name="connsiteY0" fmla="*/ 0 h 1196580"/>
            <a:gd name="connsiteX1" fmla="*/ 683466 w 887681"/>
            <a:gd name="connsiteY1" fmla="*/ 263054 h 1196580"/>
            <a:gd name="connsiteX2" fmla="*/ 844920 w 887681"/>
            <a:gd name="connsiteY2" fmla="*/ 1196580 h 1196580"/>
            <a:gd name="connsiteX0" fmla="*/ 21199 w 900735"/>
            <a:gd name="connsiteY0" fmla="*/ 0 h 1196580"/>
            <a:gd name="connsiteX1" fmla="*/ 683466 w 900735"/>
            <a:gd name="connsiteY1" fmla="*/ 263054 h 1196580"/>
            <a:gd name="connsiteX2" fmla="*/ 844920 w 900735"/>
            <a:gd name="connsiteY2" fmla="*/ 1196580 h 1196580"/>
            <a:gd name="connsiteX0" fmla="*/ 22577 w 902113"/>
            <a:gd name="connsiteY0" fmla="*/ 0 h 1196580"/>
            <a:gd name="connsiteX1" fmla="*/ 684844 w 902113"/>
            <a:gd name="connsiteY1" fmla="*/ 263054 h 1196580"/>
            <a:gd name="connsiteX2" fmla="*/ 846298 w 902113"/>
            <a:gd name="connsiteY2" fmla="*/ 1196580 h 1196580"/>
            <a:gd name="connsiteX0" fmla="*/ 22577 w 895736"/>
            <a:gd name="connsiteY0" fmla="*/ 0 h 1340854"/>
            <a:gd name="connsiteX1" fmla="*/ 684844 w 895736"/>
            <a:gd name="connsiteY1" fmla="*/ 263054 h 1340854"/>
            <a:gd name="connsiteX2" fmla="*/ 836272 w 895736"/>
            <a:gd name="connsiteY2" fmla="*/ 1340854 h 1340854"/>
            <a:gd name="connsiteX0" fmla="*/ 22577 w 889362"/>
            <a:gd name="connsiteY0" fmla="*/ 0 h 1340854"/>
            <a:gd name="connsiteX1" fmla="*/ 684844 w 889362"/>
            <a:gd name="connsiteY1" fmla="*/ 263054 h 1340854"/>
            <a:gd name="connsiteX2" fmla="*/ 836272 w 889362"/>
            <a:gd name="connsiteY2" fmla="*/ 1340854 h 1340854"/>
            <a:gd name="connsiteX0" fmla="*/ 8516 w 1837750"/>
            <a:gd name="connsiteY0" fmla="*/ 0 h 1346306"/>
            <a:gd name="connsiteX1" fmla="*/ 1633232 w 1837750"/>
            <a:gd name="connsiteY1" fmla="*/ 268506 h 1346306"/>
            <a:gd name="connsiteX2" fmla="*/ 1784660 w 1837750"/>
            <a:gd name="connsiteY2" fmla="*/ 1346306 h 1346306"/>
            <a:gd name="connsiteX0" fmla="*/ 0 w 1829234"/>
            <a:gd name="connsiteY0" fmla="*/ 291 h 1346597"/>
            <a:gd name="connsiteX1" fmla="*/ 1624716 w 1829234"/>
            <a:gd name="connsiteY1" fmla="*/ 268797 h 1346597"/>
            <a:gd name="connsiteX2" fmla="*/ 1776144 w 1829234"/>
            <a:gd name="connsiteY2" fmla="*/ 1346597 h 1346597"/>
            <a:gd name="connsiteX0" fmla="*/ 0 w 1829234"/>
            <a:gd name="connsiteY0" fmla="*/ 0 h 1346306"/>
            <a:gd name="connsiteX1" fmla="*/ 1624716 w 1829234"/>
            <a:gd name="connsiteY1" fmla="*/ 268506 h 1346306"/>
            <a:gd name="connsiteX2" fmla="*/ 1776144 w 1829234"/>
            <a:gd name="connsiteY2" fmla="*/ 1346306 h 1346306"/>
            <a:gd name="connsiteX0" fmla="*/ 0 w 1796928"/>
            <a:gd name="connsiteY0" fmla="*/ 0 h 1346306"/>
            <a:gd name="connsiteX1" fmla="*/ 1486660 w 1796928"/>
            <a:gd name="connsiteY1" fmla="*/ 192181 h 1346306"/>
            <a:gd name="connsiteX2" fmla="*/ 1776144 w 1796928"/>
            <a:gd name="connsiteY2" fmla="*/ 1346306 h 1346306"/>
            <a:gd name="connsiteX0" fmla="*/ 0 w 1569702"/>
            <a:gd name="connsiteY0" fmla="*/ 0 h 1308144"/>
            <a:gd name="connsiteX1" fmla="*/ 1486660 w 1569702"/>
            <a:gd name="connsiteY1" fmla="*/ 192181 h 1308144"/>
            <a:gd name="connsiteX2" fmla="*/ 1216031 w 1569702"/>
            <a:gd name="connsiteY2" fmla="*/ 1308144 h 1308144"/>
            <a:gd name="connsiteX0" fmla="*/ 0 w 1229072"/>
            <a:gd name="connsiteY0" fmla="*/ 0 h 1308144"/>
            <a:gd name="connsiteX1" fmla="*/ 827935 w 1229072"/>
            <a:gd name="connsiteY1" fmla="*/ 77694 h 1308144"/>
            <a:gd name="connsiteX2" fmla="*/ 1216031 w 1229072"/>
            <a:gd name="connsiteY2" fmla="*/ 1308144 h 1308144"/>
            <a:gd name="connsiteX0" fmla="*/ 0 w 1229072"/>
            <a:gd name="connsiteY0" fmla="*/ 0 h 1308144"/>
            <a:gd name="connsiteX1" fmla="*/ 827935 w 1229072"/>
            <a:gd name="connsiteY1" fmla="*/ 77694 h 1308144"/>
            <a:gd name="connsiteX2" fmla="*/ 1216031 w 1229072"/>
            <a:gd name="connsiteY2" fmla="*/ 1308144 h 1308144"/>
            <a:gd name="connsiteX0" fmla="*/ 0 w 1224864"/>
            <a:gd name="connsiteY0" fmla="*/ 0 h 1308144"/>
            <a:gd name="connsiteX1" fmla="*/ 827935 w 1224864"/>
            <a:gd name="connsiteY1" fmla="*/ 77694 h 1308144"/>
            <a:gd name="connsiteX2" fmla="*/ 1216031 w 1224864"/>
            <a:gd name="connsiteY2" fmla="*/ 1308144 h 1308144"/>
            <a:gd name="connsiteX0" fmla="*/ 0 w 1216031"/>
            <a:gd name="connsiteY0" fmla="*/ 0 h 1308144"/>
            <a:gd name="connsiteX1" fmla="*/ 827935 w 1216031"/>
            <a:gd name="connsiteY1" fmla="*/ 77694 h 1308144"/>
            <a:gd name="connsiteX2" fmla="*/ 1216031 w 1216031"/>
            <a:gd name="connsiteY2" fmla="*/ 1308144 h 1308144"/>
            <a:gd name="connsiteX0" fmla="*/ 0 w 1216031"/>
            <a:gd name="connsiteY0" fmla="*/ 0 h 1308144"/>
            <a:gd name="connsiteX1" fmla="*/ 827935 w 1216031"/>
            <a:gd name="connsiteY1" fmla="*/ 77694 h 1308144"/>
            <a:gd name="connsiteX2" fmla="*/ 1216031 w 1216031"/>
            <a:gd name="connsiteY2" fmla="*/ 1308144 h 1308144"/>
            <a:gd name="connsiteX0" fmla="*/ 0 w 1216031"/>
            <a:gd name="connsiteY0" fmla="*/ 2011 h 1310155"/>
            <a:gd name="connsiteX1" fmla="*/ 827935 w 1216031"/>
            <a:gd name="connsiteY1" fmla="*/ 79705 h 1310155"/>
            <a:gd name="connsiteX2" fmla="*/ 1216031 w 1216031"/>
            <a:gd name="connsiteY2" fmla="*/ 1310155 h 131015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216031" h="1310155">
              <a:moveTo>
                <a:pt x="0" y="2011"/>
              </a:moveTo>
              <a:cubicBezTo>
                <a:pt x="597912" y="4185"/>
                <a:pt x="690039" y="-24335"/>
                <a:pt x="827935" y="79705"/>
              </a:cubicBezTo>
              <a:cubicBezTo>
                <a:pt x="1040947" y="269219"/>
                <a:pt x="1205353" y="659296"/>
                <a:pt x="1216031" y="1310155"/>
              </a:cubicBezTo>
            </a:path>
          </a:pathLst>
        </a:custGeom>
        <a:noFill/>
        <a:ln w="47625">
          <a:solidFill>
            <a:srgbClr val="0000FF"/>
          </a:solidFill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695325</xdr:colOff>
      <xdr:row>6</xdr:row>
      <xdr:rowOff>104774</xdr:rowOff>
    </xdr:from>
    <xdr:to>
      <xdr:col>7</xdr:col>
      <xdr:colOff>923925</xdr:colOff>
      <xdr:row>22</xdr:row>
      <xdr:rowOff>133350</xdr:rowOff>
    </xdr:to>
    <xdr:sp macro="" textlink="">
      <xdr:nvSpPr>
        <xdr:cNvPr id="6" name="Freeform: Shape 5">
          <a:extLst>
            <a:ext uri="{FF2B5EF4-FFF2-40B4-BE49-F238E27FC236}">
              <a16:creationId xmlns:a16="http://schemas.microsoft.com/office/drawing/2014/main" id="{300A9081-8F92-4A8E-BE4C-133022535BC3}"/>
            </a:ext>
          </a:extLst>
        </xdr:cNvPr>
        <xdr:cNvSpPr/>
      </xdr:nvSpPr>
      <xdr:spPr>
        <a:xfrm>
          <a:off x="5886450" y="1533524"/>
          <a:ext cx="2181225" cy="3819526"/>
        </a:xfrm>
        <a:custGeom>
          <a:avLst/>
          <a:gdLst>
            <a:gd name="connsiteX0" fmla="*/ 1952625 w 2819400"/>
            <a:gd name="connsiteY0" fmla="*/ 0 h 3057525"/>
            <a:gd name="connsiteX1" fmla="*/ 2819400 w 2819400"/>
            <a:gd name="connsiteY1" fmla="*/ 161925 h 3057525"/>
            <a:gd name="connsiteX2" fmla="*/ 1619250 w 2819400"/>
            <a:gd name="connsiteY2" fmla="*/ 2028825 h 3057525"/>
            <a:gd name="connsiteX3" fmla="*/ 0 w 2819400"/>
            <a:gd name="connsiteY3" fmla="*/ 3057525 h 3057525"/>
            <a:gd name="connsiteX0" fmla="*/ 1952625 w 2609850"/>
            <a:gd name="connsiteY0" fmla="*/ 0 h 3057525"/>
            <a:gd name="connsiteX1" fmla="*/ 2609850 w 2609850"/>
            <a:gd name="connsiteY1" fmla="*/ 266700 h 3057525"/>
            <a:gd name="connsiteX2" fmla="*/ 1619250 w 2609850"/>
            <a:gd name="connsiteY2" fmla="*/ 2028825 h 3057525"/>
            <a:gd name="connsiteX3" fmla="*/ 0 w 2609850"/>
            <a:gd name="connsiteY3" fmla="*/ 3057525 h 3057525"/>
            <a:gd name="connsiteX0" fmla="*/ 1952625 w 2633210"/>
            <a:gd name="connsiteY0" fmla="*/ 0 h 3057525"/>
            <a:gd name="connsiteX1" fmla="*/ 2609850 w 2633210"/>
            <a:gd name="connsiteY1" fmla="*/ 266700 h 3057525"/>
            <a:gd name="connsiteX2" fmla="*/ 1619250 w 2633210"/>
            <a:gd name="connsiteY2" fmla="*/ 2028825 h 3057525"/>
            <a:gd name="connsiteX3" fmla="*/ 0 w 2633210"/>
            <a:gd name="connsiteY3" fmla="*/ 3057525 h 3057525"/>
            <a:gd name="connsiteX0" fmla="*/ 1952625 w 2624685"/>
            <a:gd name="connsiteY0" fmla="*/ 0 h 3057525"/>
            <a:gd name="connsiteX1" fmla="*/ 2609850 w 2624685"/>
            <a:gd name="connsiteY1" fmla="*/ 266700 h 3057525"/>
            <a:gd name="connsiteX2" fmla="*/ 1619250 w 2624685"/>
            <a:gd name="connsiteY2" fmla="*/ 2028825 h 3057525"/>
            <a:gd name="connsiteX3" fmla="*/ 0 w 2624685"/>
            <a:gd name="connsiteY3" fmla="*/ 3057525 h 3057525"/>
            <a:gd name="connsiteX0" fmla="*/ 1952625 w 2624685"/>
            <a:gd name="connsiteY0" fmla="*/ 31805 h 3089330"/>
            <a:gd name="connsiteX1" fmla="*/ 2609850 w 2624685"/>
            <a:gd name="connsiteY1" fmla="*/ 298505 h 3089330"/>
            <a:gd name="connsiteX2" fmla="*/ 1619250 w 2624685"/>
            <a:gd name="connsiteY2" fmla="*/ 2060630 h 3089330"/>
            <a:gd name="connsiteX3" fmla="*/ 0 w 2624685"/>
            <a:gd name="connsiteY3" fmla="*/ 3089330 h 3089330"/>
            <a:gd name="connsiteX0" fmla="*/ 1952625 w 2624685"/>
            <a:gd name="connsiteY0" fmla="*/ 0 h 3057525"/>
            <a:gd name="connsiteX1" fmla="*/ 2609850 w 2624685"/>
            <a:gd name="connsiteY1" fmla="*/ 266700 h 3057525"/>
            <a:gd name="connsiteX2" fmla="*/ 1619250 w 2624685"/>
            <a:gd name="connsiteY2" fmla="*/ 2028825 h 3057525"/>
            <a:gd name="connsiteX3" fmla="*/ 0 w 2624685"/>
            <a:gd name="connsiteY3" fmla="*/ 3057525 h 3057525"/>
            <a:gd name="connsiteX0" fmla="*/ 1952625 w 2624685"/>
            <a:gd name="connsiteY0" fmla="*/ 27576 h 3085101"/>
            <a:gd name="connsiteX1" fmla="*/ 2609850 w 2624685"/>
            <a:gd name="connsiteY1" fmla="*/ 294276 h 3085101"/>
            <a:gd name="connsiteX2" fmla="*/ 1619250 w 2624685"/>
            <a:gd name="connsiteY2" fmla="*/ 2056401 h 3085101"/>
            <a:gd name="connsiteX3" fmla="*/ 0 w 2624685"/>
            <a:gd name="connsiteY3" fmla="*/ 3085101 h 3085101"/>
            <a:gd name="connsiteX0" fmla="*/ 1819275 w 2611281"/>
            <a:gd name="connsiteY0" fmla="*/ 16879 h 3102979"/>
            <a:gd name="connsiteX1" fmla="*/ 2609850 w 2611281"/>
            <a:gd name="connsiteY1" fmla="*/ 312154 h 3102979"/>
            <a:gd name="connsiteX2" fmla="*/ 1619250 w 2611281"/>
            <a:gd name="connsiteY2" fmla="*/ 2074279 h 3102979"/>
            <a:gd name="connsiteX3" fmla="*/ 0 w 2611281"/>
            <a:gd name="connsiteY3" fmla="*/ 3102979 h 3102979"/>
            <a:gd name="connsiteX0" fmla="*/ 1819275 w 2611818"/>
            <a:gd name="connsiteY0" fmla="*/ 0 h 3086100"/>
            <a:gd name="connsiteX1" fmla="*/ 2609850 w 2611818"/>
            <a:gd name="connsiteY1" fmla="*/ 295275 h 3086100"/>
            <a:gd name="connsiteX2" fmla="*/ 1619250 w 2611818"/>
            <a:gd name="connsiteY2" fmla="*/ 2057400 h 3086100"/>
            <a:gd name="connsiteX3" fmla="*/ 0 w 2611818"/>
            <a:gd name="connsiteY3" fmla="*/ 3086100 h 3086100"/>
            <a:gd name="connsiteX0" fmla="*/ 1819275 w 2621300"/>
            <a:gd name="connsiteY0" fmla="*/ 0 h 3086100"/>
            <a:gd name="connsiteX1" fmla="*/ 2619375 w 2621300"/>
            <a:gd name="connsiteY1" fmla="*/ 428625 h 3086100"/>
            <a:gd name="connsiteX2" fmla="*/ 1619250 w 2621300"/>
            <a:gd name="connsiteY2" fmla="*/ 2057400 h 3086100"/>
            <a:gd name="connsiteX3" fmla="*/ 0 w 2621300"/>
            <a:gd name="connsiteY3" fmla="*/ 3086100 h 3086100"/>
            <a:gd name="connsiteX0" fmla="*/ 1957019 w 2759044"/>
            <a:gd name="connsiteY0" fmla="*/ 0 h 3091054"/>
            <a:gd name="connsiteX1" fmla="*/ 2757119 w 2759044"/>
            <a:gd name="connsiteY1" fmla="*/ 428625 h 3091054"/>
            <a:gd name="connsiteX2" fmla="*/ 1756994 w 2759044"/>
            <a:gd name="connsiteY2" fmla="*/ 2057400 h 3091054"/>
            <a:gd name="connsiteX3" fmla="*/ 0 w 2759044"/>
            <a:gd name="connsiteY3" fmla="*/ 3091054 h 3091054"/>
            <a:gd name="connsiteX0" fmla="*/ 1957019 w 2758142"/>
            <a:gd name="connsiteY0" fmla="*/ 0 h 3091054"/>
            <a:gd name="connsiteX1" fmla="*/ 2757119 w 2758142"/>
            <a:gd name="connsiteY1" fmla="*/ 428625 h 3091054"/>
            <a:gd name="connsiteX2" fmla="*/ 1814143 w 2758142"/>
            <a:gd name="connsiteY2" fmla="*/ 2724534 h 3091054"/>
            <a:gd name="connsiteX3" fmla="*/ 0 w 2758142"/>
            <a:gd name="connsiteY3" fmla="*/ 3091054 h 3091054"/>
            <a:gd name="connsiteX0" fmla="*/ 1042640 w 1843763"/>
            <a:gd name="connsiteY0" fmla="*/ 0 h 3079935"/>
            <a:gd name="connsiteX1" fmla="*/ 1842740 w 1843763"/>
            <a:gd name="connsiteY1" fmla="*/ 428625 h 3079935"/>
            <a:gd name="connsiteX2" fmla="*/ 899764 w 1843763"/>
            <a:gd name="connsiteY2" fmla="*/ 2724534 h 3079935"/>
            <a:gd name="connsiteX3" fmla="*/ 0 w 1843763"/>
            <a:gd name="connsiteY3" fmla="*/ 3079935 h 3079935"/>
            <a:gd name="connsiteX0" fmla="*/ 1814147 w 2615270"/>
            <a:gd name="connsiteY0" fmla="*/ 0 h 3769307"/>
            <a:gd name="connsiteX1" fmla="*/ 2614247 w 2615270"/>
            <a:gd name="connsiteY1" fmla="*/ 428625 h 3769307"/>
            <a:gd name="connsiteX2" fmla="*/ 1671271 w 2615270"/>
            <a:gd name="connsiteY2" fmla="*/ 2724534 h 3769307"/>
            <a:gd name="connsiteX3" fmla="*/ 0 w 2615270"/>
            <a:gd name="connsiteY3" fmla="*/ 3769307 h 3769307"/>
            <a:gd name="connsiteX0" fmla="*/ 1814147 w 2615270"/>
            <a:gd name="connsiteY0" fmla="*/ 0 h 3769307"/>
            <a:gd name="connsiteX1" fmla="*/ 2614247 w 2615270"/>
            <a:gd name="connsiteY1" fmla="*/ 428625 h 3769307"/>
            <a:gd name="connsiteX2" fmla="*/ 1671271 w 2615270"/>
            <a:gd name="connsiteY2" fmla="*/ 2724534 h 3769307"/>
            <a:gd name="connsiteX3" fmla="*/ 0 w 2615270"/>
            <a:gd name="connsiteY3" fmla="*/ 3769307 h 3769307"/>
            <a:gd name="connsiteX0" fmla="*/ 1814147 w 3715694"/>
            <a:gd name="connsiteY0" fmla="*/ 0 h 3769307"/>
            <a:gd name="connsiteX1" fmla="*/ 3715413 w 3715694"/>
            <a:gd name="connsiteY1" fmla="*/ 475507 h 3769307"/>
            <a:gd name="connsiteX2" fmla="*/ 1671271 w 3715694"/>
            <a:gd name="connsiteY2" fmla="*/ 2724534 h 3769307"/>
            <a:gd name="connsiteX3" fmla="*/ 0 w 3715694"/>
            <a:gd name="connsiteY3" fmla="*/ 3769307 h 3769307"/>
            <a:gd name="connsiteX0" fmla="*/ 1814147 w 3717419"/>
            <a:gd name="connsiteY0" fmla="*/ 103519 h 3872826"/>
            <a:gd name="connsiteX1" fmla="*/ 3715413 w 3717419"/>
            <a:gd name="connsiteY1" fmla="*/ 579026 h 3872826"/>
            <a:gd name="connsiteX2" fmla="*/ 1671271 w 3717419"/>
            <a:gd name="connsiteY2" fmla="*/ 2828053 h 3872826"/>
            <a:gd name="connsiteX3" fmla="*/ 0 w 3717419"/>
            <a:gd name="connsiteY3" fmla="*/ 3872826 h 3872826"/>
            <a:gd name="connsiteX0" fmla="*/ 1814147 w 3719358"/>
            <a:gd name="connsiteY0" fmla="*/ 0 h 3769307"/>
            <a:gd name="connsiteX1" fmla="*/ 3715413 w 3719358"/>
            <a:gd name="connsiteY1" fmla="*/ 475507 h 3769307"/>
            <a:gd name="connsiteX2" fmla="*/ 1671271 w 3719358"/>
            <a:gd name="connsiteY2" fmla="*/ 2724534 h 3769307"/>
            <a:gd name="connsiteX3" fmla="*/ 0 w 3719358"/>
            <a:gd name="connsiteY3" fmla="*/ 3769307 h 3769307"/>
            <a:gd name="connsiteX0" fmla="*/ 1814147 w 3568349"/>
            <a:gd name="connsiteY0" fmla="*/ 0 h 3769307"/>
            <a:gd name="connsiteX1" fmla="*/ 3564003 w 3568349"/>
            <a:gd name="connsiteY1" fmla="*/ 944326 h 3769307"/>
            <a:gd name="connsiteX2" fmla="*/ 1671271 w 3568349"/>
            <a:gd name="connsiteY2" fmla="*/ 2724534 h 3769307"/>
            <a:gd name="connsiteX3" fmla="*/ 0 w 3568349"/>
            <a:gd name="connsiteY3" fmla="*/ 3769307 h 3769307"/>
            <a:gd name="connsiteX0" fmla="*/ 1814147 w 3020321"/>
            <a:gd name="connsiteY0" fmla="*/ 0 h 3769307"/>
            <a:gd name="connsiteX1" fmla="*/ 3013421 w 3020321"/>
            <a:gd name="connsiteY1" fmla="*/ 925526 h 3769307"/>
            <a:gd name="connsiteX2" fmla="*/ 1671271 w 3020321"/>
            <a:gd name="connsiteY2" fmla="*/ 2724534 h 3769307"/>
            <a:gd name="connsiteX3" fmla="*/ 0 w 3020321"/>
            <a:gd name="connsiteY3" fmla="*/ 3769307 h 376930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3020321" h="3769307">
              <a:moveTo>
                <a:pt x="1814147" y="0"/>
              </a:moveTo>
              <a:cubicBezTo>
                <a:pt x="2242772" y="22225"/>
                <a:pt x="3106058" y="377674"/>
                <a:pt x="3013421" y="925526"/>
              </a:cubicBezTo>
              <a:cubicBezTo>
                <a:pt x="2920784" y="1473378"/>
                <a:pt x="2106979" y="2167754"/>
                <a:pt x="1671271" y="2724534"/>
              </a:cubicBezTo>
              <a:cubicBezTo>
                <a:pt x="1235563" y="3281314"/>
                <a:pt x="965190" y="3529614"/>
                <a:pt x="0" y="3769307"/>
              </a:cubicBezTo>
            </a:path>
          </a:pathLst>
        </a:custGeom>
        <a:noFill/>
        <a:ln w="47625">
          <a:solidFill>
            <a:srgbClr val="7030A0"/>
          </a:solidFill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495300</xdr:colOff>
      <xdr:row>19</xdr:row>
      <xdr:rowOff>76200</xdr:rowOff>
    </xdr:from>
    <xdr:to>
      <xdr:col>7</xdr:col>
      <xdr:colOff>76201</xdr:colOff>
      <xdr:row>22</xdr:row>
      <xdr:rowOff>114300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05FCB51E-008A-44A1-91CB-ACE5881CE675}"/>
            </a:ext>
          </a:extLst>
        </xdr:cNvPr>
        <xdr:cNvSpPr/>
      </xdr:nvSpPr>
      <xdr:spPr>
        <a:xfrm>
          <a:off x="6743700" y="4610100"/>
          <a:ext cx="476251" cy="723900"/>
        </a:xfrm>
        <a:custGeom>
          <a:avLst/>
          <a:gdLst>
            <a:gd name="connsiteX0" fmla="*/ 1952625 w 2819400"/>
            <a:gd name="connsiteY0" fmla="*/ 0 h 3057525"/>
            <a:gd name="connsiteX1" fmla="*/ 2819400 w 2819400"/>
            <a:gd name="connsiteY1" fmla="*/ 161925 h 3057525"/>
            <a:gd name="connsiteX2" fmla="*/ 1619250 w 2819400"/>
            <a:gd name="connsiteY2" fmla="*/ 2028825 h 3057525"/>
            <a:gd name="connsiteX3" fmla="*/ 0 w 2819400"/>
            <a:gd name="connsiteY3" fmla="*/ 3057525 h 3057525"/>
            <a:gd name="connsiteX0" fmla="*/ 1952625 w 2609850"/>
            <a:gd name="connsiteY0" fmla="*/ 0 h 3057525"/>
            <a:gd name="connsiteX1" fmla="*/ 2609850 w 2609850"/>
            <a:gd name="connsiteY1" fmla="*/ 266700 h 3057525"/>
            <a:gd name="connsiteX2" fmla="*/ 1619250 w 2609850"/>
            <a:gd name="connsiteY2" fmla="*/ 2028825 h 3057525"/>
            <a:gd name="connsiteX3" fmla="*/ 0 w 2609850"/>
            <a:gd name="connsiteY3" fmla="*/ 3057525 h 3057525"/>
            <a:gd name="connsiteX0" fmla="*/ 1952625 w 2633210"/>
            <a:gd name="connsiteY0" fmla="*/ 0 h 3057525"/>
            <a:gd name="connsiteX1" fmla="*/ 2609850 w 2633210"/>
            <a:gd name="connsiteY1" fmla="*/ 266700 h 3057525"/>
            <a:gd name="connsiteX2" fmla="*/ 1619250 w 2633210"/>
            <a:gd name="connsiteY2" fmla="*/ 2028825 h 3057525"/>
            <a:gd name="connsiteX3" fmla="*/ 0 w 2633210"/>
            <a:gd name="connsiteY3" fmla="*/ 3057525 h 3057525"/>
            <a:gd name="connsiteX0" fmla="*/ 1952625 w 2624685"/>
            <a:gd name="connsiteY0" fmla="*/ 0 h 3057525"/>
            <a:gd name="connsiteX1" fmla="*/ 2609850 w 2624685"/>
            <a:gd name="connsiteY1" fmla="*/ 266700 h 3057525"/>
            <a:gd name="connsiteX2" fmla="*/ 1619250 w 2624685"/>
            <a:gd name="connsiteY2" fmla="*/ 2028825 h 3057525"/>
            <a:gd name="connsiteX3" fmla="*/ 0 w 2624685"/>
            <a:gd name="connsiteY3" fmla="*/ 3057525 h 3057525"/>
            <a:gd name="connsiteX0" fmla="*/ 1952625 w 2624685"/>
            <a:gd name="connsiteY0" fmla="*/ 31805 h 3089330"/>
            <a:gd name="connsiteX1" fmla="*/ 2609850 w 2624685"/>
            <a:gd name="connsiteY1" fmla="*/ 298505 h 3089330"/>
            <a:gd name="connsiteX2" fmla="*/ 1619250 w 2624685"/>
            <a:gd name="connsiteY2" fmla="*/ 2060630 h 3089330"/>
            <a:gd name="connsiteX3" fmla="*/ 0 w 2624685"/>
            <a:gd name="connsiteY3" fmla="*/ 3089330 h 3089330"/>
            <a:gd name="connsiteX0" fmla="*/ 1952625 w 2624685"/>
            <a:gd name="connsiteY0" fmla="*/ 0 h 3057525"/>
            <a:gd name="connsiteX1" fmla="*/ 2609850 w 2624685"/>
            <a:gd name="connsiteY1" fmla="*/ 266700 h 3057525"/>
            <a:gd name="connsiteX2" fmla="*/ 1619250 w 2624685"/>
            <a:gd name="connsiteY2" fmla="*/ 2028825 h 3057525"/>
            <a:gd name="connsiteX3" fmla="*/ 0 w 2624685"/>
            <a:gd name="connsiteY3" fmla="*/ 3057525 h 3057525"/>
            <a:gd name="connsiteX0" fmla="*/ 1952625 w 2624685"/>
            <a:gd name="connsiteY0" fmla="*/ 27576 h 3085101"/>
            <a:gd name="connsiteX1" fmla="*/ 2609850 w 2624685"/>
            <a:gd name="connsiteY1" fmla="*/ 294276 h 3085101"/>
            <a:gd name="connsiteX2" fmla="*/ 1619250 w 2624685"/>
            <a:gd name="connsiteY2" fmla="*/ 2056401 h 3085101"/>
            <a:gd name="connsiteX3" fmla="*/ 0 w 2624685"/>
            <a:gd name="connsiteY3" fmla="*/ 3085101 h 3085101"/>
            <a:gd name="connsiteX0" fmla="*/ 1819275 w 2611281"/>
            <a:gd name="connsiteY0" fmla="*/ 16879 h 3102979"/>
            <a:gd name="connsiteX1" fmla="*/ 2609850 w 2611281"/>
            <a:gd name="connsiteY1" fmla="*/ 312154 h 3102979"/>
            <a:gd name="connsiteX2" fmla="*/ 1619250 w 2611281"/>
            <a:gd name="connsiteY2" fmla="*/ 2074279 h 3102979"/>
            <a:gd name="connsiteX3" fmla="*/ 0 w 2611281"/>
            <a:gd name="connsiteY3" fmla="*/ 3102979 h 3102979"/>
            <a:gd name="connsiteX0" fmla="*/ 1819275 w 2611818"/>
            <a:gd name="connsiteY0" fmla="*/ 0 h 3086100"/>
            <a:gd name="connsiteX1" fmla="*/ 2609850 w 2611818"/>
            <a:gd name="connsiteY1" fmla="*/ 295275 h 3086100"/>
            <a:gd name="connsiteX2" fmla="*/ 1619250 w 2611818"/>
            <a:gd name="connsiteY2" fmla="*/ 2057400 h 3086100"/>
            <a:gd name="connsiteX3" fmla="*/ 0 w 2611818"/>
            <a:gd name="connsiteY3" fmla="*/ 3086100 h 3086100"/>
            <a:gd name="connsiteX0" fmla="*/ 1819275 w 2621300"/>
            <a:gd name="connsiteY0" fmla="*/ 0 h 3086100"/>
            <a:gd name="connsiteX1" fmla="*/ 2619375 w 2621300"/>
            <a:gd name="connsiteY1" fmla="*/ 428625 h 3086100"/>
            <a:gd name="connsiteX2" fmla="*/ 1619250 w 2621300"/>
            <a:gd name="connsiteY2" fmla="*/ 2057400 h 3086100"/>
            <a:gd name="connsiteX3" fmla="*/ 0 w 2621300"/>
            <a:gd name="connsiteY3" fmla="*/ 3086100 h 3086100"/>
            <a:gd name="connsiteX0" fmla="*/ 2619375 w 2619375"/>
            <a:gd name="connsiteY0" fmla="*/ 0 h 2657475"/>
            <a:gd name="connsiteX1" fmla="*/ 1619250 w 2619375"/>
            <a:gd name="connsiteY1" fmla="*/ 1628775 h 2657475"/>
            <a:gd name="connsiteX2" fmla="*/ 0 w 2619375"/>
            <a:gd name="connsiteY2" fmla="*/ 2657475 h 2657475"/>
            <a:gd name="connsiteX0" fmla="*/ 1619250 w 1619250"/>
            <a:gd name="connsiteY0" fmla="*/ 0 h 1028700"/>
            <a:gd name="connsiteX1" fmla="*/ 0 w 1619250"/>
            <a:gd name="connsiteY1" fmla="*/ 1028700 h 1028700"/>
            <a:gd name="connsiteX0" fmla="*/ 1209675 w 1209675"/>
            <a:gd name="connsiteY0" fmla="*/ 0 h 1333500"/>
            <a:gd name="connsiteX1" fmla="*/ 0 w 1209675"/>
            <a:gd name="connsiteY1" fmla="*/ 1333500 h 1333500"/>
            <a:gd name="connsiteX0" fmla="*/ 122460 w 223190"/>
            <a:gd name="connsiteY0" fmla="*/ 0 h 1133475"/>
            <a:gd name="connsiteX1" fmla="*/ 27210 w 223190"/>
            <a:gd name="connsiteY1" fmla="*/ 1133475 h 1133475"/>
            <a:gd name="connsiteX0" fmla="*/ 614517 w 614517"/>
            <a:gd name="connsiteY0" fmla="*/ 0 h 1133475"/>
            <a:gd name="connsiteX1" fmla="*/ 519267 w 614517"/>
            <a:gd name="connsiteY1" fmla="*/ 1133475 h 1133475"/>
            <a:gd name="connsiteX0" fmla="*/ 558708 w 558708"/>
            <a:gd name="connsiteY0" fmla="*/ 0 h 1247775"/>
            <a:gd name="connsiteX1" fmla="*/ 549183 w 558708"/>
            <a:gd name="connsiteY1" fmla="*/ 1247775 h 1247775"/>
            <a:gd name="connsiteX0" fmla="*/ 506303 w 581802"/>
            <a:gd name="connsiteY0" fmla="*/ 0 h 1178612"/>
            <a:gd name="connsiteX1" fmla="*/ 581802 w 581802"/>
            <a:gd name="connsiteY1" fmla="*/ 1178612 h 1178612"/>
            <a:gd name="connsiteX0" fmla="*/ 487173 w 595063"/>
            <a:gd name="connsiteY0" fmla="*/ 0 h 1162338"/>
            <a:gd name="connsiteX1" fmla="*/ 595063 w 595063"/>
            <a:gd name="connsiteY1" fmla="*/ 1162338 h 1162338"/>
            <a:gd name="connsiteX0" fmla="*/ 482179 w 590069"/>
            <a:gd name="connsiteY0" fmla="*/ 0 h 1169198"/>
            <a:gd name="connsiteX1" fmla="*/ 590069 w 590069"/>
            <a:gd name="connsiteY1" fmla="*/ 1162338 h 1169198"/>
            <a:gd name="connsiteX0" fmla="*/ 479509 w 587399"/>
            <a:gd name="connsiteY0" fmla="*/ 0 h 1170194"/>
            <a:gd name="connsiteX1" fmla="*/ 587399 w 587399"/>
            <a:gd name="connsiteY1" fmla="*/ 1162338 h 1170194"/>
            <a:gd name="connsiteX0" fmla="*/ 474800 w 590787"/>
            <a:gd name="connsiteY0" fmla="*/ 0 h 1182840"/>
            <a:gd name="connsiteX1" fmla="*/ 590787 w 590787"/>
            <a:gd name="connsiteY1" fmla="*/ 1175110 h 1182840"/>
            <a:gd name="connsiteX0" fmla="*/ 386659 w 666167"/>
            <a:gd name="connsiteY0" fmla="*/ 0 h 1967295"/>
            <a:gd name="connsiteX1" fmla="*/ 666167 w 666167"/>
            <a:gd name="connsiteY1" fmla="*/ 1963441 h 1967295"/>
            <a:gd name="connsiteX0" fmla="*/ 336354 w 615862"/>
            <a:gd name="connsiteY0" fmla="*/ 0 h 1978371"/>
            <a:gd name="connsiteX1" fmla="*/ 615862 w 615862"/>
            <a:gd name="connsiteY1" fmla="*/ 1963441 h 1978371"/>
            <a:gd name="connsiteX0" fmla="*/ 149896 w 429404"/>
            <a:gd name="connsiteY0" fmla="*/ 0 h 2002036"/>
            <a:gd name="connsiteX1" fmla="*/ 429404 w 429404"/>
            <a:gd name="connsiteY1" fmla="*/ 1963441 h 2002036"/>
            <a:gd name="connsiteX0" fmla="*/ 149896 w 429404"/>
            <a:gd name="connsiteY0" fmla="*/ 0 h 2131351"/>
            <a:gd name="connsiteX1" fmla="*/ 429404 w 429404"/>
            <a:gd name="connsiteY1" fmla="*/ 2099361 h 2131351"/>
            <a:gd name="connsiteX0" fmla="*/ 152463 w 431971"/>
            <a:gd name="connsiteY0" fmla="*/ 0 h 2101661"/>
            <a:gd name="connsiteX1" fmla="*/ 431971 w 431971"/>
            <a:gd name="connsiteY1" fmla="*/ 2099361 h 21016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431971" h="2101661">
              <a:moveTo>
                <a:pt x="152463" y="0"/>
              </a:moveTo>
              <a:cubicBezTo>
                <a:pt x="-138854" y="1781144"/>
                <a:pt x="5280" y="2134550"/>
                <a:pt x="431971" y="2099361"/>
              </a:cubicBezTo>
            </a:path>
          </a:pathLst>
        </a:custGeom>
        <a:noFill/>
        <a:ln w="47625">
          <a:solidFill>
            <a:srgbClr val="7030A0"/>
          </a:solidFill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108826</xdr:colOff>
      <xdr:row>20</xdr:row>
      <xdr:rowOff>47625</xdr:rowOff>
    </xdr:from>
    <xdr:to>
      <xdr:col>7</xdr:col>
      <xdr:colOff>299326</xdr:colOff>
      <xdr:row>24</xdr:row>
      <xdr:rowOff>179684</xdr:rowOff>
    </xdr:to>
    <xdr:sp macro="" textlink="">
      <xdr:nvSpPr>
        <xdr:cNvPr id="8" name="Left Brace 7">
          <a:extLst>
            <a:ext uri="{FF2B5EF4-FFF2-40B4-BE49-F238E27FC236}">
              <a16:creationId xmlns:a16="http://schemas.microsoft.com/office/drawing/2014/main" id="{2283CB98-D3BA-4028-AA4C-83E87BAF1ACB}"/>
            </a:ext>
          </a:extLst>
        </xdr:cNvPr>
        <xdr:cNvSpPr/>
      </xdr:nvSpPr>
      <xdr:spPr>
        <a:xfrm>
          <a:off x="9252826" y="4791075"/>
          <a:ext cx="190500" cy="1046459"/>
        </a:xfrm>
        <a:prstGeom prst="leftBrace">
          <a:avLst/>
        </a:prstGeom>
        <a:ln w="53975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333375</xdr:colOff>
      <xdr:row>20</xdr:row>
      <xdr:rowOff>60540</xdr:rowOff>
    </xdr:from>
    <xdr:to>
      <xdr:col>5</xdr:col>
      <xdr:colOff>532158</xdr:colOff>
      <xdr:row>24</xdr:row>
      <xdr:rowOff>192599</xdr:rowOff>
    </xdr:to>
    <xdr:sp macro="" textlink="">
      <xdr:nvSpPr>
        <xdr:cNvPr id="9" name="Left Brace 8">
          <a:extLst>
            <a:ext uri="{FF2B5EF4-FFF2-40B4-BE49-F238E27FC236}">
              <a16:creationId xmlns:a16="http://schemas.microsoft.com/office/drawing/2014/main" id="{DA2A8D65-CF64-4963-B86E-693C042FE720}"/>
            </a:ext>
          </a:extLst>
        </xdr:cNvPr>
        <xdr:cNvSpPr/>
      </xdr:nvSpPr>
      <xdr:spPr>
        <a:xfrm flipH="1">
          <a:off x="7362825" y="4803990"/>
          <a:ext cx="198783" cy="1046459"/>
        </a:xfrm>
        <a:prstGeom prst="leftBrace">
          <a:avLst/>
        </a:prstGeom>
        <a:ln w="53975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785599</xdr:colOff>
      <xdr:row>7</xdr:row>
      <xdr:rowOff>57149</xdr:rowOff>
    </xdr:from>
    <xdr:to>
      <xdr:col>7</xdr:col>
      <xdr:colOff>1331755</xdr:colOff>
      <xdr:row>15</xdr:row>
      <xdr:rowOff>47626</xdr:rowOff>
    </xdr:to>
    <xdr:sp macro="" textlink="">
      <xdr:nvSpPr>
        <xdr:cNvPr id="10" name="Freeform: Shape 9">
          <a:extLst>
            <a:ext uri="{FF2B5EF4-FFF2-40B4-BE49-F238E27FC236}">
              <a16:creationId xmlns:a16="http://schemas.microsoft.com/office/drawing/2014/main" id="{9FCFFDA9-8547-413F-A996-6D38E83E0F25}"/>
            </a:ext>
          </a:extLst>
        </xdr:cNvPr>
        <xdr:cNvSpPr/>
      </xdr:nvSpPr>
      <xdr:spPr>
        <a:xfrm flipH="1">
          <a:off x="5976724" y="1733549"/>
          <a:ext cx="2498781" cy="1933577"/>
        </a:xfrm>
        <a:custGeom>
          <a:avLst/>
          <a:gdLst>
            <a:gd name="connsiteX0" fmla="*/ 1952625 w 2819400"/>
            <a:gd name="connsiteY0" fmla="*/ 0 h 3057525"/>
            <a:gd name="connsiteX1" fmla="*/ 2819400 w 2819400"/>
            <a:gd name="connsiteY1" fmla="*/ 161925 h 3057525"/>
            <a:gd name="connsiteX2" fmla="*/ 1619250 w 2819400"/>
            <a:gd name="connsiteY2" fmla="*/ 2028825 h 3057525"/>
            <a:gd name="connsiteX3" fmla="*/ 0 w 2819400"/>
            <a:gd name="connsiteY3" fmla="*/ 3057525 h 3057525"/>
            <a:gd name="connsiteX0" fmla="*/ 1952625 w 2609850"/>
            <a:gd name="connsiteY0" fmla="*/ 0 h 3057525"/>
            <a:gd name="connsiteX1" fmla="*/ 2609850 w 2609850"/>
            <a:gd name="connsiteY1" fmla="*/ 266700 h 3057525"/>
            <a:gd name="connsiteX2" fmla="*/ 1619250 w 2609850"/>
            <a:gd name="connsiteY2" fmla="*/ 2028825 h 3057525"/>
            <a:gd name="connsiteX3" fmla="*/ 0 w 2609850"/>
            <a:gd name="connsiteY3" fmla="*/ 3057525 h 3057525"/>
            <a:gd name="connsiteX0" fmla="*/ 1952625 w 2633210"/>
            <a:gd name="connsiteY0" fmla="*/ 0 h 3057525"/>
            <a:gd name="connsiteX1" fmla="*/ 2609850 w 2633210"/>
            <a:gd name="connsiteY1" fmla="*/ 266700 h 3057525"/>
            <a:gd name="connsiteX2" fmla="*/ 1619250 w 2633210"/>
            <a:gd name="connsiteY2" fmla="*/ 2028825 h 3057525"/>
            <a:gd name="connsiteX3" fmla="*/ 0 w 2633210"/>
            <a:gd name="connsiteY3" fmla="*/ 3057525 h 3057525"/>
            <a:gd name="connsiteX0" fmla="*/ 1952625 w 2624685"/>
            <a:gd name="connsiteY0" fmla="*/ 0 h 3057525"/>
            <a:gd name="connsiteX1" fmla="*/ 2609850 w 2624685"/>
            <a:gd name="connsiteY1" fmla="*/ 266700 h 3057525"/>
            <a:gd name="connsiteX2" fmla="*/ 1619250 w 2624685"/>
            <a:gd name="connsiteY2" fmla="*/ 2028825 h 3057525"/>
            <a:gd name="connsiteX3" fmla="*/ 0 w 2624685"/>
            <a:gd name="connsiteY3" fmla="*/ 3057525 h 3057525"/>
            <a:gd name="connsiteX0" fmla="*/ 1952625 w 2624685"/>
            <a:gd name="connsiteY0" fmla="*/ 31805 h 3089330"/>
            <a:gd name="connsiteX1" fmla="*/ 2609850 w 2624685"/>
            <a:gd name="connsiteY1" fmla="*/ 298505 h 3089330"/>
            <a:gd name="connsiteX2" fmla="*/ 1619250 w 2624685"/>
            <a:gd name="connsiteY2" fmla="*/ 2060630 h 3089330"/>
            <a:gd name="connsiteX3" fmla="*/ 0 w 2624685"/>
            <a:gd name="connsiteY3" fmla="*/ 3089330 h 3089330"/>
            <a:gd name="connsiteX0" fmla="*/ 1952625 w 2624685"/>
            <a:gd name="connsiteY0" fmla="*/ 0 h 3057525"/>
            <a:gd name="connsiteX1" fmla="*/ 2609850 w 2624685"/>
            <a:gd name="connsiteY1" fmla="*/ 266700 h 3057525"/>
            <a:gd name="connsiteX2" fmla="*/ 1619250 w 2624685"/>
            <a:gd name="connsiteY2" fmla="*/ 2028825 h 3057525"/>
            <a:gd name="connsiteX3" fmla="*/ 0 w 2624685"/>
            <a:gd name="connsiteY3" fmla="*/ 3057525 h 3057525"/>
            <a:gd name="connsiteX0" fmla="*/ 1952625 w 2624685"/>
            <a:gd name="connsiteY0" fmla="*/ 27576 h 3085101"/>
            <a:gd name="connsiteX1" fmla="*/ 2609850 w 2624685"/>
            <a:gd name="connsiteY1" fmla="*/ 294276 h 3085101"/>
            <a:gd name="connsiteX2" fmla="*/ 1619250 w 2624685"/>
            <a:gd name="connsiteY2" fmla="*/ 2056401 h 3085101"/>
            <a:gd name="connsiteX3" fmla="*/ 0 w 2624685"/>
            <a:gd name="connsiteY3" fmla="*/ 3085101 h 3085101"/>
            <a:gd name="connsiteX0" fmla="*/ 1819275 w 2611281"/>
            <a:gd name="connsiteY0" fmla="*/ 16879 h 3102979"/>
            <a:gd name="connsiteX1" fmla="*/ 2609850 w 2611281"/>
            <a:gd name="connsiteY1" fmla="*/ 312154 h 3102979"/>
            <a:gd name="connsiteX2" fmla="*/ 1619250 w 2611281"/>
            <a:gd name="connsiteY2" fmla="*/ 2074279 h 3102979"/>
            <a:gd name="connsiteX3" fmla="*/ 0 w 2611281"/>
            <a:gd name="connsiteY3" fmla="*/ 3102979 h 3102979"/>
            <a:gd name="connsiteX0" fmla="*/ 1819275 w 2611818"/>
            <a:gd name="connsiteY0" fmla="*/ 0 h 3086100"/>
            <a:gd name="connsiteX1" fmla="*/ 2609850 w 2611818"/>
            <a:gd name="connsiteY1" fmla="*/ 295275 h 3086100"/>
            <a:gd name="connsiteX2" fmla="*/ 1619250 w 2611818"/>
            <a:gd name="connsiteY2" fmla="*/ 2057400 h 3086100"/>
            <a:gd name="connsiteX3" fmla="*/ 0 w 2611818"/>
            <a:gd name="connsiteY3" fmla="*/ 3086100 h 3086100"/>
            <a:gd name="connsiteX0" fmla="*/ 1819275 w 2621300"/>
            <a:gd name="connsiteY0" fmla="*/ 0 h 3086100"/>
            <a:gd name="connsiteX1" fmla="*/ 2619375 w 2621300"/>
            <a:gd name="connsiteY1" fmla="*/ 428625 h 3086100"/>
            <a:gd name="connsiteX2" fmla="*/ 1619250 w 2621300"/>
            <a:gd name="connsiteY2" fmla="*/ 2057400 h 3086100"/>
            <a:gd name="connsiteX3" fmla="*/ 0 w 2621300"/>
            <a:gd name="connsiteY3" fmla="*/ 3086100 h 3086100"/>
            <a:gd name="connsiteX0" fmla="*/ 2619375 w 2619375"/>
            <a:gd name="connsiteY0" fmla="*/ 0 h 2657475"/>
            <a:gd name="connsiteX1" fmla="*/ 1619250 w 2619375"/>
            <a:gd name="connsiteY1" fmla="*/ 1628775 h 2657475"/>
            <a:gd name="connsiteX2" fmla="*/ 0 w 2619375"/>
            <a:gd name="connsiteY2" fmla="*/ 2657475 h 2657475"/>
            <a:gd name="connsiteX0" fmla="*/ 1619250 w 1619250"/>
            <a:gd name="connsiteY0" fmla="*/ 0 h 1028700"/>
            <a:gd name="connsiteX1" fmla="*/ 0 w 1619250"/>
            <a:gd name="connsiteY1" fmla="*/ 1028700 h 1028700"/>
            <a:gd name="connsiteX0" fmla="*/ 1209675 w 1209675"/>
            <a:gd name="connsiteY0" fmla="*/ 0 h 1333500"/>
            <a:gd name="connsiteX1" fmla="*/ 0 w 1209675"/>
            <a:gd name="connsiteY1" fmla="*/ 1333500 h 1333500"/>
            <a:gd name="connsiteX0" fmla="*/ 122460 w 223190"/>
            <a:gd name="connsiteY0" fmla="*/ 0 h 1133475"/>
            <a:gd name="connsiteX1" fmla="*/ 27210 w 223190"/>
            <a:gd name="connsiteY1" fmla="*/ 1133475 h 1133475"/>
            <a:gd name="connsiteX0" fmla="*/ 614517 w 614517"/>
            <a:gd name="connsiteY0" fmla="*/ 0 h 1133475"/>
            <a:gd name="connsiteX1" fmla="*/ 519267 w 614517"/>
            <a:gd name="connsiteY1" fmla="*/ 1133475 h 1133475"/>
            <a:gd name="connsiteX0" fmla="*/ 558708 w 558708"/>
            <a:gd name="connsiteY0" fmla="*/ 0 h 1247775"/>
            <a:gd name="connsiteX1" fmla="*/ 549183 w 558708"/>
            <a:gd name="connsiteY1" fmla="*/ 1247775 h 1247775"/>
            <a:gd name="connsiteX0" fmla="*/ 506303 w 581802"/>
            <a:gd name="connsiteY0" fmla="*/ 0 h 1178612"/>
            <a:gd name="connsiteX1" fmla="*/ 581802 w 581802"/>
            <a:gd name="connsiteY1" fmla="*/ 1178612 h 1178612"/>
            <a:gd name="connsiteX0" fmla="*/ 487173 w 595063"/>
            <a:gd name="connsiteY0" fmla="*/ 0 h 1162338"/>
            <a:gd name="connsiteX1" fmla="*/ 595063 w 595063"/>
            <a:gd name="connsiteY1" fmla="*/ 1162338 h 1162338"/>
            <a:gd name="connsiteX0" fmla="*/ 127470 w 1425202"/>
            <a:gd name="connsiteY0" fmla="*/ 0 h 1012203"/>
            <a:gd name="connsiteX1" fmla="*/ 1425202 w 1425202"/>
            <a:gd name="connsiteY1" fmla="*/ 1012203 h 1012203"/>
            <a:gd name="connsiteX0" fmla="*/ 81977 w 1379709"/>
            <a:gd name="connsiteY0" fmla="*/ 0 h 1012203"/>
            <a:gd name="connsiteX1" fmla="*/ 1379709 w 1379709"/>
            <a:gd name="connsiteY1" fmla="*/ 1012203 h 1012203"/>
            <a:gd name="connsiteX0" fmla="*/ 68465 w 1713502"/>
            <a:gd name="connsiteY0" fmla="*/ 0 h 983145"/>
            <a:gd name="connsiteX1" fmla="*/ 1713502 w 1713502"/>
            <a:gd name="connsiteY1" fmla="*/ 983145 h 983145"/>
            <a:gd name="connsiteX0" fmla="*/ 42218 w 1687255"/>
            <a:gd name="connsiteY0" fmla="*/ 0 h 983145"/>
            <a:gd name="connsiteX1" fmla="*/ 1687255 w 1687255"/>
            <a:gd name="connsiteY1" fmla="*/ 983145 h 98314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687255" h="983145">
              <a:moveTo>
                <a:pt x="42218" y="0"/>
              </a:moveTo>
              <a:cubicBezTo>
                <a:pt x="-285007" y="534932"/>
                <a:pt x="1388009" y="458908"/>
                <a:pt x="1687255" y="983145"/>
              </a:cubicBezTo>
            </a:path>
          </a:pathLst>
        </a:custGeom>
        <a:noFill/>
        <a:ln w="47625">
          <a:solidFill>
            <a:srgbClr val="0000FF"/>
          </a:solidFill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20</xdr:col>
      <xdr:colOff>265219</xdr:colOff>
      <xdr:row>68</xdr:row>
      <xdr:rowOff>150809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F3B682-1BC6-4C9C-A7DC-965079690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81000"/>
          <a:ext cx="11847619" cy="127238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21</xdr:col>
      <xdr:colOff>93714</xdr:colOff>
      <xdr:row>98</xdr:row>
      <xdr:rowOff>161238</xdr:rowOff>
    </xdr:to>
    <xdr:pic>
      <xdr:nvPicPr>
        <xdr:cNvPr id="3" name="Pictur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646B4D7-7736-4957-B5FA-EFDFCDB4B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13335000"/>
          <a:ext cx="12285714" cy="54952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313905</xdr:colOff>
      <xdr:row>4</xdr:row>
      <xdr:rowOff>133286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513C8C-808F-4A8C-96EA-E542FB92D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81000"/>
          <a:ext cx="3361905" cy="514286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93</xdr:row>
      <xdr:rowOff>0</xdr:rowOff>
    </xdr:from>
    <xdr:to>
      <xdr:col>21</xdr:col>
      <xdr:colOff>112764</xdr:colOff>
      <xdr:row>195</xdr:row>
      <xdr:rowOff>26143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D363B7-E60B-4F85-948D-5BC412C8A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8650" y="17716500"/>
          <a:ext cx="12285714" cy="194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6</xdr:row>
      <xdr:rowOff>9525</xdr:rowOff>
    </xdr:from>
    <xdr:to>
      <xdr:col>20</xdr:col>
      <xdr:colOff>274746</xdr:colOff>
      <xdr:row>93</xdr:row>
      <xdr:rowOff>7453</xdr:rowOff>
    </xdr:to>
    <xdr:pic>
      <xdr:nvPicPr>
        <xdr:cNvPr id="5" name="Pictur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54C8D0F-A07B-4198-A9ED-45C2EBDB5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38175" y="1152525"/>
          <a:ext cx="11828571" cy="16571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418362</xdr:colOff>
      <xdr:row>20</xdr:row>
      <xdr:rowOff>123381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F223AD-5AA3-505F-6DA7-A5A977D7C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81000"/>
          <a:ext cx="5904762" cy="35523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26</xdr:col>
      <xdr:colOff>36190</xdr:colOff>
      <xdr:row>83</xdr:row>
      <xdr:rowOff>65238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124D29-6960-57CB-9940-F33D29108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381500"/>
          <a:ext cx="15276190" cy="114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11</xdr:col>
      <xdr:colOff>427809</xdr:colOff>
      <xdr:row>131</xdr:row>
      <xdr:rowOff>75119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D60D5A-6595-CE51-9DB7-FBB6A55CB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6383000"/>
          <a:ext cx="6523809" cy="864761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23</xdr:col>
      <xdr:colOff>151619</xdr:colOff>
      <xdr:row>126</xdr:row>
      <xdr:rowOff>27619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43EAD72-B71C-4889-4569-F9D2CEC9D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24800" y="16383000"/>
          <a:ext cx="6247619" cy="76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D0D9F-32CE-446F-A043-393B2084D06C}">
  <dimension ref="B1:AX169"/>
  <sheetViews>
    <sheetView tabSelected="1" zoomScale="85" zoomScaleNormal="85" workbookViewId="0">
      <selection activeCell="E13" sqref="E13"/>
    </sheetView>
  </sheetViews>
  <sheetFormatPr defaultRowHeight="18" x14ac:dyDescent="0.25"/>
  <cols>
    <col min="1" max="1" width="3.5703125" style="2" customWidth="1"/>
    <col min="2" max="2" width="5.140625" style="2" customWidth="1"/>
    <col min="3" max="3" width="9.140625" style="2" customWidth="1"/>
    <col min="4" max="4" width="51.140625" style="2" customWidth="1"/>
    <col min="5" max="5" width="23" style="2" customWidth="1"/>
    <col min="6" max="7" width="15.85546875" style="2" customWidth="1"/>
    <col min="8" max="8" width="32.42578125" style="2" customWidth="1"/>
    <col min="9" max="9" width="20.85546875" style="2" customWidth="1"/>
    <col min="10" max="10" width="4.28515625" style="2" customWidth="1"/>
    <col min="11" max="11" width="5.5703125" style="2" customWidth="1"/>
    <col min="12" max="12" width="23.7109375" style="2" bestFit="1" customWidth="1"/>
    <col min="13" max="13" width="17.85546875" style="2" customWidth="1"/>
    <col min="14" max="14" width="25.140625" style="83" bestFit="1" customWidth="1"/>
    <col min="15" max="15" width="9.140625" style="2"/>
    <col min="16" max="16" width="10.7109375" style="2" bestFit="1" customWidth="1"/>
    <col min="17" max="29" width="9.140625" style="2"/>
    <col min="30" max="30" width="38.28515625" style="2" customWidth="1"/>
    <col min="31" max="33" width="9.140625" style="2"/>
    <col min="34" max="34" width="25.140625" style="2" bestFit="1" customWidth="1"/>
    <col min="35" max="49" width="9.140625" style="2"/>
    <col min="50" max="50" width="48.5703125" style="2" customWidth="1"/>
    <col min="51" max="16384" width="9.140625" style="2"/>
  </cols>
  <sheetData>
    <row r="1" spans="2:16" ht="18.75" thickBot="1" x14ac:dyDescent="0.3">
      <c r="C1" s="28"/>
      <c r="D1" s="28"/>
      <c r="E1" s="28"/>
      <c r="F1" s="28"/>
      <c r="G1" s="28"/>
      <c r="H1" s="28"/>
      <c r="I1" s="28"/>
      <c r="J1" s="28"/>
    </row>
    <row r="2" spans="2:16" ht="18.75" thickBot="1" x14ac:dyDescent="0.3">
      <c r="B2" s="34"/>
      <c r="C2" s="80" t="s">
        <v>28</v>
      </c>
      <c r="D2" s="35"/>
      <c r="E2" s="35"/>
      <c r="F2" s="35"/>
      <c r="G2" s="35"/>
      <c r="H2" s="35"/>
      <c r="I2" s="81" t="s">
        <v>45</v>
      </c>
      <c r="J2" s="35"/>
      <c r="K2" s="64"/>
      <c r="M2" s="1"/>
    </row>
    <row r="3" spans="2:16" ht="18.75" thickBot="1" x14ac:dyDescent="0.3">
      <c r="B3" s="38"/>
      <c r="C3" s="91"/>
      <c r="D3" s="67"/>
      <c r="E3" s="67"/>
      <c r="F3" s="67"/>
      <c r="G3" s="67"/>
      <c r="H3" s="67"/>
      <c r="I3" s="90"/>
      <c r="J3" s="73"/>
      <c r="K3" s="89"/>
      <c r="M3" s="1"/>
    </row>
    <row r="4" spans="2:16" ht="18.75" thickBot="1" x14ac:dyDescent="0.3">
      <c r="B4" s="38"/>
      <c r="C4" s="12"/>
      <c r="D4" s="57"/>
      <c r="E4" s="92" t="s">
        <v>0</v>
      </c>
      <c r="F4" s="93" t="s">
        <v>1</v>
      </c>
      <c r="G4" s="94" t="s">
        <v>2</v>
      </c>
      <c r="H4" s="57"/>
      <c r="I4" s="57"/>
      <c r="J4" s="21"/>
      <c r="K4" s="39"/>
      <c r="M4" s="1"/>
    </row>
    <row r="5" spans="2:16" ht="18.75" thickBot="1" x14ac:dyDescent="0.3">
      <c r="B5" s="38"/>
      <c r="C5" s="12"/>
      <c r="D5" s="1" t="s">
        <v>3</v>
      </c>
      <c r="E5" s="46">
        <v>3</v>
      </c>
      <c r="F5" s="47">
        <v>0</v>
      </c>
      <c r="G5" s="48">
        <v>0</v>
      </c>
      <c r="H5" s="33"/>
      <c r="J5" s="21"/>
      <c r="K5" s="39"/>
      <c r="M5" s="1"/>
    </row>
    <row r="6" spans="2:16" x14ac:dyDescent="0.25">
      <c r="B6" s="38"/>
      <c r="C6" s="12"/>
      <c r="E6" s="16"/>
      <c r="F6" s="16"/>
      <c r="G6" s="16"/>
      <c r="J6" s="21"/>
      <c r="K6" s="39"/>
      <c r="M6" s="1"/>
    </row>
    <row r="7" spans="2:16" ht="18.75" x14ac:dyDescent="0.3">
      <c r="B7" s="38"/>
      <c r="C7" s="12"/>
      <c r="D7" s="1" t="s">
        <v>4</v>
      </c>
      <c r="E7" s="22">
        <f>E5+(F5+G5/60)/60</f>
        <v>3</v>
      </c>
      <c r="F7" s="16" t="s">
        <v>0</v>
      </c>
      <c r="G7" s="16"/>
      <c r="H7" s="2">
        <v>2</v>
      </c>
      <c r="J7" s="21"/>
      <c r="K7" s="39"/>
      <c r="M7" s="1"/>
      <c r="P7" s="65"/>
    </row>
    <row r="8" spans="2:16" ht="19.5" thickBot="1" x14ac:dyDescent="0.35">
      <c r="B8" s="38"/>
      <c r="C8" s="12"/>
      <c r="D8" s="1"/>
      <c r="E8" s="22"/>
      <c r="F8" s="16"/>
      <c r="G8" s="16"/>
      <c r="J8" s="21"/>
      <c r="K8" s="39"/>
      <c r="M8" s="1"/>
      <c r="P8" s="65"/>
    </row>
    <row r="9" spans="2:16" ht="18.75" customHeight="1" thickBot="1" x14ac:dyDescent="0.3">
      <c r="B9" s="38"/>
      <c r="C9" s="12"/>
      <c r="E9" s="43" t="s">
        <v>30</v>
      </c>
      <c r="F9" s="105" t="s">
        <v>31</v>
      </c>
      <c r="G9" s="106"/>
      <c r="J9" s="21"/>
      <c r="K9" s="39"/>
      <c r="M9" s="1"/>
    </row>
    <row r="10" spans="2:16" ht="18.75" thickBot="1" x14ac:dyDescent="0.3">
      <c r="B10" s="38"/>
      <c r="C10" s="12"/>
      <c r="D10" s="1" t="s">
        <v>29</v>
      </c>
      <c r="E10" s="46">
        <v>0</v>
      </c>
      <c r="F10" s="107"/>
      <c r="G10" s="106"/>
      <c r="J10" s="21"/>
      <c r="K10" s="39"/>
      <c r="M10" s="1"/>
    </row>
    <row r="11" spans="2:16" ht="18.75" thickBot="1" x14ac:dyDescent="0.3">
      <c r="B11" s="38"/>
      <c r="C11" s="12"/>
      <c r="E11" s="16"/>
      <c r="F11" s="16"/>
      <c r="G11" s="16"/>
      <c r="J11" s="21"/>
      <c r="K11" s="39"/>
      <c r="M11" s="1"/>
      <c r="P11" s="83"/>
    </row>
    <row r="12" spans="2:16" ht="18.75" thickBot="1" x14ac:dyDescent="0.3">
      <c r="B12" s="38"/>
      <c r="C12" s="12"/>
      <c r="E12" s="43" t="s">
        <v>0</v>
      </c>
      <c r="F12" s="44" t="s">
        <v>1</v>
      </c>
      <c r="G12" s="45" t="s">
        <v>2</v>
      </c>
      <c r="J12" s="21"/>
      <c r="K12" s="39"/>
      <c r="M12" s="1"/>
    </row>
    <row r="13" spans="2:16" ht="19.5" thickBot="1" x14ac:dyDescent="0.35">
      <c r="B13" s="38"/>
      <c r="C13" s="12"/>
      <c r="D13" s="50" t="str">
        <f>IF(E10&gt;0,"Overall ∆ = Overall Central Angle = ","∆ = Defelection Angle = Delta = ")</f>
        <v xml:space="preserve">∆ = Defelection Angle = Delta = </v>
      </c>
      <c r="E13" s="46">
        <v>38</v>
      </c>
      <c r="F13" s="47">
        <v>56</v>
      </c>
      <c r="G13" s="48">
        <v>0</v>
      </c>
      <c r="H13" s="33"/>
      <c r="J13" s="21"/>
      <c r="K13" s="39"/>
    </row>
    <row r="14" spans="2:16" x14ac:dyDescent="0.25">
      <c r="B14" s="38"/>
      <c r="C14" s="12"/>
      <c r="D14" s="82"/>
      <c r="J14" s="21"/>
      <c r="K14" s="39"/>
    </row>
    <row r="15" spans="2:16" x14ac:dyDescent="0.25">
      <c r="B15" s="38"/>
      <c r="C15" s="12"/>
      <c r="J15" s="21"/>
      <c r="K15" s="39"/>
    </row>
    <row r="16" spans="2:16" x14ac:dyDescent="0.25">
      <c r="B16" s="38"/>
      <c r="C16" s="12"/>
      <c r="D16" s="50" t="str">
        <f>IF(E10&gt;0,"Overall ∆ = Overal Central Angle = ","∆ = Central Angle = Delta = ")</f>
        <v xml:space="preserve">∆ = Central Angle = Delta = </v>
      </c>
      <c r="E16" s="32">
        <f>E13+(F13+G13/60)/60</f>
        <v>38.93333333333333</v>
      </c>
      <c r="F16" s="2" t="s">
        <v>0</v>
      </c>
      <c r="J16" s="21"/>
      <c r="K16" s="39"/>
    </row>
    <row r="17" spans="2:11" x14ac:dyDescent="0.25">
      <c r="B17" s="38"/>
      <c r="C17" s="12"/>
      <c r="D17" s="50"/>
      <c r="E17" s="32"/>
      <c r="J17" s="21"/>
      <c r="K17" s="39"/>
    </row>
    <row r="18" spans="2:11" x14ac:dyDescent="0.25">
      <c r="B18" s="38"/>
      <c r="C18" s="87"/>
      <c r="D18" s="88" t="s">
        <v>42</v>
      </c>
      <c r="J18" s="21"/>
      <c r="K18" s="39"/>
    </row>
    <row r="19" spans="2:11" x14ac:dyDescent="0.25">
      <c r="B19" s="38"/>
      <c r="C19" s="12"/>
      <c r="J19" s="21"/>
      <c r="K19" s="39"/>
    </row>
    <row r="20" spans="2:11" x14ac:dyDescent="0.25">
      <c r="B20" s="38"/>
      <c r="C20" s="12"/>
      <c r="D20" s="1" t="str">
        <f>IF(E10&gt;0,"∆s = Defelection Angle of Spiral = Delta = ","")</f>
        <v/>
      </c>
      <c r="E20" s="2" t="str">
        <f>IF(E10&gt;0,E10*E7/200,"")</f>
        <v/>
      </c>
      <c r="F20" s="2" t="str">
        <f>IF(E10&gt;0,"Degrees","")</f>
        <v/>
      </c>
      <c r="J20" s="21"/>
      <c r="K20" s="39"/>
    </row>
    <row r="21" spans="2:11" x14ac:dyDescent="0.25">
      <c r="B21" s="38"/>
      <c r="C21" s="12"/>
      <c r="D21" s="1" t="str">
        <f>IF(E10&gt;0,"∆c = Defelection Angle of Curve = Delta = ","")</f>
        <v/>
      </c>
      <c r="E21" s="2" t="str">
        <f>IF(E10&gt;0,E16-E20*2,"")</f>
        <v/>
      </c>
      <c r="F21" s="2" t="str">
        <f>IF(E10&gt;0,"Degrees","")</f>
        <v/>
      </c>
      <c r="J21" s="21"/>
      <c r="K21" s="39"/>
    </row>
    <row r="22" spans="2:11" ht="18.75" thickBot="1" x14ac:dyDescent="0.3">
      <c r="B22" s="38"/>
      <c r="C22" s="12"/>
      <c r="J22" s="21"/>
      <c r="K22" s="39"/>
    </row>
    <row r="23" spans="2:11" ht="18.75" thickBot="1" x14ac:dyDescent="0.3">
      <c r="B23" s="38"/>
      <c r="C23" s="12"/>
      <c r="D23" s="76" t="str">
        <f>IF(E10&gt;0,"Overall P.I. Station = ","P.I Station = ")</f>
        <v xml:space="preserve">P.I Station = </v>
      </c>
      <c r="E23" s="49" t="s">
        <v>32</v>
      </c>
      <c r="F23" s="66">
        <f>VALUE(SUBSTITUTE(E23,"+",""))</f>
        <v>194075.5</v>
      </c>
      <c r="J23" s="21"/>
      <c r="K23" s="39"/>
    </row>
    <row r="24" spans="2:11" ht="18.75" thickBot="1" x14ac:dyDescent="0.3">
      <c r="B24" s="38"/>
      <c r="C24" s="12"/>
      <c r="D24" s="1"/>
      <c r="J24" s="21"/>
      <c r="K24" s="39"/>
    </row>
    <row r="25" spans="2:11" ht="24" thickBot="1" x14ac:dyDescent="0.4">
      <c r="B25" s="38"/>
      <c r="C25" s="52"/>
      <c r="D25" s="53"/>
      <c r="E25" s="7" t="s">
        <v>7</v>
      </c>
      <c r="F25" s="54"/>
      <c r="G25" s="9"/>
      <c r="H25" s="9"/>
      <c r="I25" s="10" t="s">
        <v>8</v>
      </c>
      <c r="J25" s="11"/>
      <c r="K25" s="39"/>
    </row>
    <row r="26" spans="2:11" x14ac:dyDescent="0.25">
      <c r="B26" s="38"/>
      <c r="C26" s="27"/>
      <c r="D26" s="28"/>
      <c r="E26" s="28"/>
      <c r="F26" s="30"/>
      <c r="J26" s="21"/>
      <c r="K26" s="39"/>
    </row>
    <row r="27" spans="2:11" x14ac:dyDescent="0.25">
      <c r="B27" s="38"/>
      <c r="C27" s="12"/>
      <c r="D27" s="1" t="s">
        <v>9</v>
      </c>
      <c r="E27" s="4">
        <f>IF(E7=0,0,(100*360)/(E7*2*PI()))</f>
        <v>1909.8593171027442</v>
      </c>
      <c r="F27" s="21" t="s">
        <v>10</v>
      </c>
      <c r="H27" s="1" t="s">
        <v>11</v>
      </c>
      <c r="I27" s="4">
        <f>IF(E7=0,0,50/SIN(0.5*RADIANS(E7)))</f>
        <v>1910.0775007055222</v>
      </c>
      <c r="J27" s="21" t="s">
        <v>10</v>
      </c>
      <c r="K27" s="39"/>
    </row>
    <row r="28" spans="2:11" x14ac:dyDescent="0.25">
      <c r="B28" s="38"/>
      <c r="C28" s="12"/>
      <c r="F28" s="21"/>
      <c r="J28" s="21"/>
      <c r="K28" s="39"/>
    </row>
    <row r="29" spans="2:11" x14ac:dyDescent="0.25">
      <c r="B29" s="38"/>
      <c r="C29" s="12"/>
      <c r="D29" s="58" t="s">
        <v>12</v>
      </c>
      <c r="E29" s="4">
        <f>IF(E10&gt;0,PI()*E27*E21/180,PI()*E27*E16/180)</f>
        <v>1297.7777777777776</v>
      </c>
      <c r="F29" s="21" t="s">
        <v>10</v>
      </c>
      <c r="H29" s="1" t="s">
        <v>13</v>
      </c>
      <c r="I29" s="4">
        <f>IF(E7=0,0,IF(E10&gt;0,100*E21/E7,100*E16/E7))</f>
        <v>1297.7777777777776</v>
      </c>
      <c r="J29" s="21" t="s">
        <v>10</v>
      </c>
      <c r="K29" s="39"/>
    </row>
    <row r="30" spans="2:11" x14ac:dyDescent="0.25">
      <c r="B30" s="38"/>
      <c r="C30" s="12"/>
      <c r="D30" s="58" t="s">
        <v>14</v>
      </c>
      <c r="E30" s="56">
        <f>E29</f>
        <v>1297.7777777777776</v>
      </c>
      <c r="F30" s="21" t="s">
        <v>10</v>
      </c>
      <c r="G30" s="57"/>
      <c r="H30" s="58" t="s">
        <v>14</v>
      </c>
      <c r="I30" s="56">
        <f>IF(E10&gt;0,PI()*I27*E21/180,PI()*I27*E16/180)</f>
        <v>1297.9260367770794</v>
      </c>
      <c r="J30" s="21" t="s">
        <v>10</v>
      </c>
      <c r="K30" s="39"/>
    </row>
    <row r="31" spans="2:11" x14ac:dyDescent="0.25">
      <c r="B31" s="38"/>
      <c r="C31" s="12"/>
      <c r="D31" s="58" t="str">
        <f>IF($E$10&gt;0,"Ts = Overall Tangent Length =","T = Tangent Length =")</f>
        <v>T = Tangent Length =</v>
      </c>
      <c r="E31" s="56">
        <f>IF($E$10&gt;0,$N$53,E27*TAN(RADIANS($E$16)/2))</f>
        <v>675.06646812285464</v>
      </c>
      <c r="F31" s="21" t="s">
        <v>10</v>
      </c>
      <c r="G31" s="57"/>
      <c r="H31" s="58" t="str">
        <f>IF($E$10&gt;0,"Ts = Overall Tangent Length =","T = Tangent Length =")</f>
        <v>T = Tangent Length =</v>
      </c>
      <c r="I31" s="56">
        <f>IF($E$10&gt;0,$AH$53,I27*TAN(RADIANS($E$16)/2))</f>
        <v>675.1435881666248</v>
      </c>
      <c r="J31" s="21" t="s">
        <v>10</v>
      </c>
      <c r="K31" s="39"/>
    </row>
    <row r="32" spans="2:11" x14ac:dyDescent="0.25">
      <c r="B32" s="38"/>
      <c r="C32" s="12"/>
      <c r="D32" s="1" t="str">
        <f>IF($E$10&gt;0,"TS Station =","")</f>
        <v/>
      </c>
      <c r="E32" s="85" t="str">
        <f>IF($E$10&gt;0,$F$23-E31,"")</f>
        <v/>
      </c>
      <c r="F32" s="21"/>
      <c r="G32" s="57"/>
      <c r="H32" s="1" t="str">
        <f>IF($E$10&gt;0,"TS Station =","")</f>
        <v/>
      </c>
      <c r="I32" s="85" t="str">
        <f>IF($E$10&gt;0,$F$23-I31,"")</f>
        <v/>
      </c>
      <c r="J32" s="21"/>
      <c r="K32" s="39"/>
    </row>
    <row r="33" spans="2:50" x14ac:dyDescent="0.25">
      <c r="B33" s="38"/>
      <c r="C33" s="12"/>
      <c r="D33" s="58" t="str">
        <f>IF($E$10&gt;0,"SC Station =","PC Station =")</f>
        <v>PC Station =</v>
      </c>
      <c r="E33" s="84">
        <f>IF($E$10&gt;0,E32+$E$10,$F$23-E31)</f>
        <v>193400.43353187715</v>
      </c>
      <c r="F33" s="21"/>
      <c r="G33" s="57"/>
      <c r="H33" s="58" t="str">
        <f>IF($E$10&gt;0,"SC Station =","PC Station =")</f>
        <v>PC Station =</v>
      </c>
      <c r="I33" s="84">
        <f>IF($E$10&gt;0,I32+$E$10,$F$23-I31)</f>
        <v>193400.35641183337</v>
      </c>
      <c r="K33" s="60"/>
    </row>
    <row r="34" spans="2:50" x14ac:dyDescent="0.25">
      <c r="B34" s="38"/>
      <c r="C34" s="12"/>
      <c r="D34" s="1" t="str">
        <f>IF($E$10&gt;0,"CS Station =","PT Station =")</f>
        <v>PT Station =</v>
      </c>
      <c r="E34" s="85">
        <f>IF($E$10&gt;0,E33+E29,+E33+E29)</f>
        <v>194698.21130965493</v>
      </c>
      <c r="F34" s="57"/>
      <c r="G34" s="57"/>
      <c r="H34" s="1" t="str">
        <f>IF($E$10&gt;0,"CS Station =","PT Station =")</f>
        <v>PT Station =</v>
      </c>
      <c r="I34" s="85">
        <f>IF($E$10&gt;0,I33+I29,+I33+I29)</f>
        <v>194698.13418961116</v>
      </c>
      <c r="J34" s="21"/>
      <c r="K34" s="39"/>
    </row>
    <row r="35" spans="2:50" ht="18.75" thickBot="1" x14ac:dyDescent="0.3">
      <c r="B35" s="38"/>
      <c r="C35" s="23"/>
      <c r="D35" s="25" t="str">
        <f>IF($E$10&gt;0,"ST Station =","")</f>
        <v/>
      </c>
      <c r="E35" s="86" t="str">
        <f>IF($E$10&gt;0,E34+$E$10,"")</f>
        <v/>
      </c>
      <c r="F35" s="24"/>
      <c r="G35" s="24"/>
      <c r="H35" s="1" t="str">
        <f>IF($E$10&gt;0,"ST Station =","")</f>
        <v/>
      </c>
      <c r="I35" s="85" t="str">
        <f>IF($E$10&gt;0,I34+$E$10,"")</f>
        <v/>
      </c>
      <c r="J35" s="26"/>
      <c r="K35" s="39"/>
    </row>
    <row r="36" spans="2:50" ht="18.75" thickBot="1" x14ac:dyDescent="0.3">
      <c r="B36" s="40"/>
      <c r="C36" s="41"/>
      <c r="D36" s="41"/>
      <c r="E36" s="51"/>
      <c r="F36" s="41"/>
      <c r="G36" s="41"/>
      <c r="H36" s="59"/>
      <c r="I36" s="78" t="s">
        <v>27</v>
      </c>
      <c r="J36" s="59"/>
      <c r="K36" s="42"/>
    </row>
    <row r="37" spans="2:50" x14ac:dyDescent="0.25">
      <c r="E37" s="4"/>
    </row>
    <row r="38" spans="2:50" x14ac:dyDescent="0.25">
      <c r="E38" s="4"/>
      <c r="H38" s="1"/>
      <c r="I38" s="3"/>
    </row>
    <row r="39" spans="2:50" x14ac:dyDescent="0.25">
      <c r="E39" s="4"/>
    </row>
    <row r="40" spans="2:50" x14ac:dyDescent="0.25">
      <c r="E40" s="4"/>
    </row>
    <row r="41" spans="2:50" ht="23.25" x14ac:dyDescent="0.35">
      <c r="E41" s="5"/>
      <c r="I41" s="5"/>
    </row>
    <row r="43" spans="2:50" ht="25.5" x14ac:dyDescent="0.35">
      <c r="D43" s="1"/>
      <c r="E43" s="4"/>
      <c r="H43" s="1"/>
      <c r="I43" s="4"/>
      <c r="N43" s="104" t="s">
        <v>44</v>
      </c>
      <c r="AG43" s="104" t="s">
        <v>43</v>
      </c>
    </row>
    <row r="44" spans="2:50" ht="18.75" thickBot="1" x14ac:dyDescent="0.3">
      <c r="D44" s="1"/>
      <c r="E44" s="4"/>
      <c r="H44" s="1"/>
      <c r="I44" s="4"/>
      <c r="AH44" s="83"/>
    </row>
    <row r="45" spans="2:50" x14ac:dyDescent="0.25">
      <c r="D45" s="1"/>
      <c r="H45" s="1"/>
      <c r="I45" s="4"/>
      <c r="L45" s="27"/>
      <c r="M45" s="28"/>
      <c r="N45" s="95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30"/>
      <c r="AF45" s="27"/>
      <c r="AG45" s="28"/>
      <c r="AH45" s="95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30"/>
    </row>
    <row r="46" spans="2:50" x14ac:dyDescent="0.25">
      <c r="L46" s="12"/>
      <c r="M46" s="57"/>
      <c r="N46" s="96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21"/>
      <c r="AF46" s="12"/>
      <c r="AG46" s="57"/>
      <c r="AH46" s="96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21"/>
    </row>
    <row r="47" spans="2:50" x14ac:dyDescent="0.25">
      <c r="L47" s="12"/>
      <c r="M47" s="57"/>
      <c r="N47" s="96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21"/>
      <c r="AF47" s="12"/>
      <c r="AG47" s="57"/>
      <c r="AH47" s="96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21"/>
    </row>
    <row r="48" spans="2:50" x14ac:dyDescent="0.25">
      <c r="L48" s="12"/>
      <c r="M48" s="57"/>
      <c r="N48" s="96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21"/>
      <c r="AF48" s="12"/>
      <c r="AG48" s="57"/>
      <c r="AH48" s="96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21"/>
    </row>
    <row r="49" spans="12:50" x14ac:dyDescent="0.25">
      <c r="L49" s="12"/>
      <c r="M49" s="57"/>
      <c r="N49" s="96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21"/>
      <c r="AF49" s="12"/>
      <c r="AG49" s="57"/>
      <c r="AH49" s="96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21"/>
    </row>
    <row r="50" spans="12:50" x14ac:dyDescent="0.25">
      <c r="L50" s="12"/>
      <c r="M50" s="57"/>
      <c r="N50" s="96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21"/>
      <c r="AF50" s="12"/>
      <c r="AG50" s="57"/>
      <c r="AH50" s="96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21"/>
    </row>
    <row r="51" spans="12:50" x14ac:dyDescent="0.25">
      <c r="L51" s="12"/>
      <c r="M51" s="57"/>
      <c r="N51" s="96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21"/>
      <c r="AF51" s="12"/>
      <c r="AG51" s="57"/>
      <c r="AH51" s="96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21"/>
    </row>
    <row r="52" spans="12:50" x14ac:dyDescent="0.25">
      <c r="L52" s="12"/>
      <c r="M52" s="57"/>
      <c r="N52" s="96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21"/>
      <c r="AF52" s="12"/>
      <c r="AG52" s="57"/>
      <c r="AH52" s="96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21"/>
    </row>
    <row r="53" spans="12:50" ht="25.5" x14ac:dyDescent="0.35">
      <c r="L53" s="12"/>
      <c r="M53" s="97" t="s">
        <v>33</v>
      </c>
      <c r="N53" s="98" t="e">
        <f>(N115+N78)*TAN(RADIANS($E$16/2))+N63</f>
        <v>#DIV/0!</v>
      </c>
      <c r="O53" s="99" t="s">
        <v>30</v>
      </c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21"/>
      <c r="AF53" s="12"/>
      <c r="AG53" s="97" t="s">
        <v>33</v>
      </c>
      <c r="AH53" s="98" t="e">
        <f>(AH115+AH78)*TAN(RADIANS($E$16/2))+AH63</f>
        <v>#DIV/0!</v>
      </c>
      <c r="AI53" s="99" t="s">
        <v>30</v>
      </c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21"/>
    </row>
    <row r="54" spans="12:50" x14ac:dyDescent="0.25">
      <c r="L54" s="12"/>
      <c r="M54" s="57"/>
      <c r="N54" s="96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21"/>
      <c r="AF54" s="12"/>
      <c r="AG54" s="57"/>
      <c r="AH54" s="96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21"/>
    </row>
    <row r="55" spans="12:50" x14ac:dyDescent="0.25">
      <c r="L55" s="12"/>
      <c r="M55" s="57"/>
      <c r="N55" s="96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21"/>
      <c r="AF55" s="12"/>
      <c r="AG55" s="57"/>
      <c r="AH55" s="96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21"/>
    </row>
    <row r="56" spans="12:50" x14ac:dyDescent="0.25">
      <c r="L56" s="12"/>
      <c r="M56" s="57"/>
      <c r="N56" s="96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21"/>
      <c r="AF56" s="12"/>
      <c r="AG56" s="57"/>
      <c r="AH56" s="96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21"/>
    </row>
    <row r="57" spans="12:50" x14ac:dyDescent="0.25">
      <c r="L57" s="12"/>
      <c r="M57" s="57"/>
      <c r="N57" s="96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21"/>
      <c r="AF57" s="12"/>
      <c r="AG57" s="57"/>
      <c r="AH57" s="96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21"/>
    </row>
    <row r="58" spans="12:50" x14ac:dyDescent="0.25">
      <c r="L58" s="12"/>
      <c r="M58" s="57"/>
      <c r="N58" s="96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21"/>
      <c r="AF58" s="12"/>
      <c r="AG58" s="57"/>
      <c r="AH58" s="96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21"/>
    </row>
    <row r="59" spans="12:50" x14ac:dyDescent="0.25">
      <c r="L59" s="12"/>
      <c r="M59" s="57"/>
      <c r="N59" s="96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21"/>
      <c r="AF59" s="12"/>
      <c r="AG59" s="57"/>
      <c r="AH59" s="96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21"/>
    </row>
    <row r="60" spans="12:50" x14ac:dyDescent="0.25">
      <c r="L60" s="12"/>
      <c r="M60" s="57"/>
      <c r="N60" s="96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21"/>
      <c r="AF60" s="12"/>
      <c r="AG60" s="57"/>
      <c r="AH60" s="96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21"/>
    </row>
    <row r="61" spans="12:50" x14ac:dyDescent="0.25">
      <c r="L61" s="12"/>
      <c r="M61" s="57"/>
      <c r="N61" s="96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21"/>
      <c r="AF61" s="12"/>
      <c r="AG61" s="57"/>
      <c r="AH61" s="96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21"/>
    </row>
    <row r="62" spans="12:50" x14ac:dyDescent="0.25">
      <c r="L62" s="12"/>
      <c r="M62" s="57"/>
      <c r="N62" s="96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21"/>
      <c r="AF62" s="12"/>
      <c r="AG62" s="57"/>
      <c r="AH62" s="96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21"/>
    </row>
    <row r="63" spans="12:50" ht="25.5" x14ac:dyDescent="0.35">
      <c r="L63" s="12"/>
      <c r="M63" s="97" t="s">
        <v>41</v>
      </c>
      <c r="N63" s="98" t="e">
        <f>(0.5*$E$10)-(0.000127*N71^2)*($E$10/100)^5</f>
        <v>#DIV/0!</v>
      </c>
      <c r="O63" s="99" t="s">
        <v>30</v>
      </c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21"/>
      <c r="AF63" s="12"/>
      <c r="AG63" s="97" t="s">
        <v>41</v>
      </c>
      <c r="AH63" s="98" t="e">
        <f>(0.5*$E$10)-(0.000127*AH71^2)*($E$10/100)^5</f>
        <v>#DIV/0!</v>
      </c>
      <c r="AI63" s="99" t="s">
        <v>30</v>
      </c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21"/>
    </row>
    <row r="64" spans="12:50" x14ac:dyDescent="0.25">
      <c r="L64" s="12"/>
      <c r="M64" s="57"/>
      <c r="N64" s="96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21"/>
      <c r="AF64" s="12"/>
      <c r="AG64" s="57"/>
      <c r="AH64" s="96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21"/>
    </row>
    <row r="65" spans="12:50" x14ac:dyDescent="0.25">
      <c r="L65" s="12"/>
      <c r="M65" s="57"/>
      <c r="N65" s="96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21"/>
      <c r="AF65" s="12"/>
      <c r="AG65" s="57"/>
      <c r="AH65" s="96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21"/>
    </row>
    <row r="66" spans="12:50" x14ac:dyDescent="0.25">
      <c r="L66" s="12"/>
      <c r="M66" s="57"/>
      <c r="N66" s="96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21"/>
      <c r="AF66" s="12"/>
      <c r="AG66" s="57"/>
      <c r="AH66" s="96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21"/>
    </row>
    <row r="67" spans="12:50" x14ac:dyDescent="0.25">
      <c r="L67" s="12"/>
      <c r="M67" s="57"/>
      <c r="N67" s="96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21"/>
      <c r="AF67" s="12"/>
      <c r="AG67" s="57"/>
      <c r="AH67" s="96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21"/>
    </row>
    <row r="68" spans="12:50" x14ac:dyDescent="0.25">
      <c r="L68" s="12"/>
      <c r="M68" s="57"/>
      <c r="N68" s="96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21"/>
      <c r="AF68" s="12"/>
      <c r="AG68" s="57"/>
      <c r="AH68" s="96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21"/>
    </row>
    <row r="69" spans="12:50" x14ac:dyDescent="0.25">
      <c r="L69" s="12"/>
      <c r="M69" s="57"/>
      <c r="N69" s="96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21"/>
      <c r="AF69" s="12"/>
      <c r="AG69" s="57"/>
      <c r="AH69" s="96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21"/>
    </row>
    <row r="70" spans="12:50" x14ac:dyDescent="0.25">
      <c r="L70" s="12"/>
      <c r="M70" s="57"/>
      <c r="N70" s="96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21"/>
      <c r="AF70" s="12"/>
      <c r="AG70" s="57"/>
      <c r="AH70" s="96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21"/>
    </row>
    <row r="71" spans="12:50" ht="25.5" x14ac:dyDescent="0.35">
      <c r="L71" s="12"/>
      <c r="M71" s="97" t="s">
        <v>40</v>
      </c>
      <c r="N71" s="98" t="e">
        <f>20000*N100/$E$10^2</f>
        <v>#DIV/0!</v>
      </c>
      <c r="O71" s="99" t="s">
        <v>30</v>
      </c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21"/>
      <c r="AF71" s="12"/>
      <c r="AG71" s="97" t="s">
        <v>40</v>
      </c>
      <c r="AH71" s="98" t="e">
        <f>20000*AH100/$E$10^2</f>
        <v>#DIV/0!</v>
      </c>
      <c r="AI71" s="99" t="s">
        <v>30</v>
      </c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21"/>
    </row>
    <row r="72" spans="12:50" x14ac:dyDescent="0.25">
      <c r="L72" s="12"/>
      <c r="M72" s="57"/>
      <c r="N72" s="96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21"/>
      <c r="AF72" s="12"/>
      <c r="AG72" s="57"/>
      <c r="AH72" s="96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21"/>
    </row>
    <row r="73" spans="12:50" x14ac:dyDescent="0.25">
      <c r="L73" s="12"/>
      <c r="M73" s="57"/>
      <c r="N73" s="96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21"/>
      <c r="AF73" s="12"/>
      <c r="AG73" s="57"/>
      <c r="AH73" s="96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21"/>
    </row>
    <row r="74" spans="12:50" x14ac:dyDescent="0.25">
      <c r="L74" s="12"/>
      <c r="M74" s="57"/>
      <c r="N74" s="96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21"/>
      <c r="AF74" s="12"/>
      <c r="AG74" s="57"/>
      <c r="AH74" s="96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21"/>
    </row>
    <row r="75" spans="12:50" x14ac:dyDescent="0.25">
      <c r="L75" s="12"/>
      <c r="M75" s="57"/>
      <c r="N75" s="96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21"/>
      <c r="AF75" s="12"/>
      <c r="AG75" s="57"/>
      <c r="AH75" s="96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21"/>
    </row>
    <row r="76" spans="12:50" x14ac:dyDescent="0.25">
      <c r="L76" s="12"/>
      <c r="M76" s="57"/>
      <c r="N76" s="96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21"/>
      <c r="AF76" s="12"/>
      <c r="AG76" s="57"/>
      <c r="AH76" s="96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21"/>
    </row>
    <row r="77" spans="12:50" x14ac:dyDescent="0.25">
      <c r="L77" s="12"/>
      <c r="M77" s="57"/>
      <c r="N77" s="96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21"/>
      <c r="AF77" s="12"/>
      <c r="AG77" s="57"/>
      <c r="AH77" s="96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21"/>
    </row>
    <row r="78" spans="12:50" ht="25.5" x14ac:dyDescent="0.35">
      <c r="L78" s="12"/>
      <c r="M78" s="97" t="s">
        <v>38</v>
      </c>
      <c r="N78" s="98">
        <f>N90-N115*(1-COS(RADIANS(N100)))</f>
        <v>0</v>
      </c>
      <c r="O78" s="99" t="s">
        <v>30</v>
      </c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21"/>
      <c r="AF78" s="12"/>
      <c r="AG78" s="97" t="s">
        <v>38</v>
      </c>
      <c r="AH78" s="98">
        <f>AH90-AH115*(1-COS(RADIANS(AH100)))</f>
        <v>0</v>
      </c>
      <c r="AI78" s="99" t="s">
        <v>30</v>
      </c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21"/>
    </row>
    <row r="79" spans="12:50" ht="25.5" x14ac:dyDescent="0.35">
      <c r="L79" s="12"/>
      <c r="M79" s="100"/>
      <c r="N79" s="101"/>
      <c r="O79" s="99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21"/>
      <c r="AF79" s="12"/>
      <c r="AG79" s="100"/>
      <c r="AH79" s="101"/>
      <c r="AI79" s="99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21"/>
    </row>
    <row r="80" spans="12:50" ht="25.5" x14ac:dyDescent="0.35">
      <c r="L80" s="12"/>
      <c r="M80" s="102" t="s">
        <v>39</v>
      </c>
      <c r="N80" s="101"/>
      <c r="O80" s="99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21"/>
      <c r="AF80" s="12"/>
      <c r="AG80" s="102" t="s">
        <v>39</v>
      </c>
      <c r="AH80" s="101"/>
      <c r="AI80" s="99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21"/>
    </row>
    <row r="81" spans="9:50" x14ac:dyDescent="0.25">
      <c r="L81" s="12"/>
      <c r="M81" s="57"/>
      <c r="N81" s="96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21"/>
      <c r="AF81" s="12"/>
      <c r="AG81" s="57"/>
      <c r="AH81" s="96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21"/>
    </row>
    <row r="82" spans="9:50" x14ac:dyDescent="0.25">
      <c r="L82" s="12"/>
      <c r="M82" s="57"/>
      <c r="N82" s="96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21"/>
      <c r="AF82" s="12"/>
      <c r="AG82" s="57"/>
      <c r="AH82" s="96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21"/>
    </row>
    <row r="83" spans="9:50" x14ac:dyDescent="0.25">
      <c r="L83" s="12"/>
      <c r="M83" s="57"/>
      <c r="N83" s="96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21"/>
      <c r="AF83" s="12"/>
      <c r="AG83" s="57"/>
      <c r="AH83" s="96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21"/>
    </row>
    <row r="84" spans="9:50" x14ac:dyDescent="0.25">
      <c r="L84" s="12"/>
      <c r="M84" s="57"/>
      <c r="N84" s="96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21"/>
      <c r="AF84" s="12"/>
      <c r="AG84" s="57"/>
      <c r="AH84" s="96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21"/>
    </row>
    <row r="85" spans="9:50" x14ac:dyDescent="0.25">
      <c r="I85" s="83"/>
      <c r="L85" s="12"/>
      <c r="M85" s="57"/>
      <c r="N85" s="96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21"/>
      <c r="AF85" s="12"/>
      <c r="AG85" s="57"/>
      <c r="AH85" s="96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21"/>
    </row>
    <row r="86" spans="9:50" x14ac:dyDescent="0.25">
      <c r="L86" s="12"/>
      <c r="M86" s="57"/>
      <c r="N86" s="96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21"/>
      <c r="AF86" s="12"/>
      <c r="AG86" s="57"/>
      <c r="AH86" s="96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21"/>
    </row>
    <row r="87" spans="9:50" x14ac:dyDescent="0.25">
      <c r="L87" s="12"/>
      <c r="M87" s="57"/>
      <c r="N87" s="96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21"/>
      <c r="AF87" s="12"/>
      <c r="AG87" s="57"/>
      <c r="AH87" s="96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21"/>
    </row>
    <row r="88" spans="9:50" x14ac:dyDescent="0.25">
      <c r="L88" s="12"/>
      <c r="M88" s="57"/>
      <c r="N88" s="96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21"/>
      <c r="AF88" s="12"/>
      <c r="AG88" s="57"/>
      <c r="AH88" s="96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21"/>
    </row>
    <row r="89" spans="9:50" x14ac:dyDescent="0.25">
      <c r="L89" s="12"/>
      <c r="M89" s="57"/>
      <c r="N89" s="96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21"/>
      <c r="AF89" s="12"/>
      <c r="AG89" s="57"/>
      <c r="AH89" s="96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21"/>
    </row>
    <row r="90" spans="9:50" ht="25.5" x14ac:dyDescent="0.35">
      <c r="L90" s="12"/>
      <c r="M90" s="97" t="s">
        <v>37</v>
      </c>
      <c r="N90" s="98">
        <f>($E$10/100)*(0.58178*N100-0.000012659*N100^3)</f>
        <v>0</v>
      </c>
      <c r="O90" s="99" t="s">
        <v>30</v>
      </c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21"/>
      <c r="AF90" s="12"/>
      <c r="AG90" s="97" t="s">
        <v>37</v>
      </c>
      <c r="AH90" s="98">
        <f>($E$10/100)*(0.58178*AH100-0.000012659*AH100^3)</f>
        <v>0</v>
      </c>
      <c r="AI90" s="99" t="s">
        <v>30</v>
      </c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21"/>
    </row>
    <row r="91" spans="9:50" x14ac:dyDescent="0.25">
      <c r="L91" s="12"/>
      <c r="M91" s="57"/>
      <c r="N91" s="96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21"/>
      <c r="AF91" s="12"/>
      <c r="AG91" s="57"/>
      <c r="AH91" s="96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21"/>
    </row>
    <row r="92" spans="9:50" x14ac:dyDescent="0.25">
      <c r="L92" s="12"/>
      <c r="M92" s="57"/>
      <c r="N92" s="96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21"/>
      <c r="AF92" s="12"/>
      <c r="AG92" s="57"/>
      <c r="AH92" s="96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21"/>
    </row>
    <row r="93" spans="9:50" x14ac:dyDescent="0.25">
      <c r="L93" s="12"/>
      <c r="M93" s="57"/>
      <c r="N93" s="96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21"/>
      <c r="AF93" s="12"/>
      <c r="AG93" s="57"/>
      <c r="AH93" s="96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21"/>
    </row>
    <row r="94" spans="9:50" x14ac:dyDescent="0.25">
      <c r="L94" s="12"/>
      <c r="M94" s="57"/>
      <c r="N94" s="96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21"/>
      <c r="AF94" s="12"/>
      <c r="AG94" s="57"/>
      <c r="AH94" s="96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21"/>
    </row>
    <row r="95" spans="9:50" x14ac:dyDescent="0.25">
      <c r="L95" s="12"/>
      <c r="M95" s="57"/>
      <c r="N95" s="96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21"/>
      <c r="AF95" s="12"/>
      <c r="AG95" s="57"/>
      <c r="AH95" s="96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21"/>
    </row>
    <row r="96" spans="9:50" x14ac:dyDescent="0.25">
      <c r="L96" s="12"/>
      <c r="M96" s="57"/>
      <c r="N96" s="96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21"/>
      <c r="AF96" s="12"/>
      <c r="AG96" s="57"/>
      <c r="AH96" s="96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21"/>
    </row>
    <row r="97" spans="12:50" x14ac:dyDescent="0.25">
      <c r="L97" s="12"/>
      <c r="M97" s="57"/>
      <c r="N97" s="96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21"/>
      <c r="AF97" s="12"/>
      <c r="AG97" s="57"/>
      <c r="AH97" s="96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21"/>
    </row>
    <row r="98" spans="12:50" x14ac:dyDescent="0.25">
      <c r="L98" s="12"/>
      <c r="M98" s="57"/>
      <c r="N98" s="96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21"/>
      <c r="AF98" s="12"/>
      <c r="AG98" s="57"/>
      <c r="AH98" s="96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21"/>
    </row>
    <row r="99" spans="12:50" x14ac:dyDescent="0.25">
      <c r="L99" s="12"/>
      <c r="M99" s="57"/>
      <c r="N99" s="96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21"/>
      <c r="AF99" s="12"/>
      <c r="AG99" s="57"/>
      <c r="AH99" s="96"/>
      <c r="AI99" s="57"/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21"/>
    </row>
    <row r="100" spans="12:50" ht="26.25" x14ac:dyDescent="0.4">
      <c r="L100" s="12"/>
      <c r="M100" s="97" t="s">
        <v>36</v>
      </c>
      <c r="N100" s="98">
        <f>$E$10*N111/200</f>
        <v>0</v>
      </c>
      <c r="O100" s="99" t="s">
        <v>0</v>
      </c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21"/>
      <c r="AF100" s="12"/>
      <c r="AG100" s="97" t="s">
        <v>36</v>
      </c>
      <c r="AH100" s="98">
        <f>$E$10*AH111/200</f>
        <v>0</v>
      </c>
      <c r="AI100" s="99" t="s">
        <v>0</v>
      </c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21"/>
    </row>
    <row r="101" spans="12:50" x14ac:dyDescent="0.25">
      <c r="L101" s="12"/>
      <c r="M101" s="57"/>
      <c r="N101" s="96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21"/>
      <c r="AF101" s="12"/>
      <c r="AG101" s="57"/>
      <c r="AH101" s="96"/>
      <c r="AI101" s="57"/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21"/>
    </row>
    <row r="102" spans="12:50" x14ac:dyDescent="0.25">
      <c r="L102" s="12"/>
      <c r="M102" s="57"/>
      <c r="N102" s="96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21"/>
      <c r="AF102" s="12"/>
      <c r="AG102" s="57"/>
      <c r="AH102" s="96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21"/>
    </row>
    <row r="103" spans="12:50" x14ac:dyDescent="0.25">
      <c r="L103" s="12"/>
      <c r="M103" s="57"/>
      <c r="N103" s="96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21"/>
      <c r="AF103" s="12"/>
      <c r="AG103" s="57"/>
      <c r="AH103" s="96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21"/>
    </row>
    <row r="104" spans="12:50" x14ac:dyDescent="0.25">
      <c r="L104" s="12"/>
      <c r="M104" s="57"/>
      <c r="N104" s="96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21"/>
      <c r="AF104" s="12"/>
      <c r="AG104" s="57"/>
      <c r="AH104" s="96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21"/>
    </row>
    <row r="105" spans="12:50" x14ac:dyDescent="0.25">
      <c r="L105" s="12"/>
      <c r="M105" s="57"/>
      <c r="N105" s="96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21"/>
      <c r="AF105" s="12"/>
      <c r="AG105" s="57"/>
      <c r="AH105" s="96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21"/>
    </row>
    <row r="106" spans="12:50" x14ac:dyDescent="0.25">
      <c r="L106" s="12"/>
      <c r="M106" s="57"/>
      <c r="N106" s="96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21"/>
      <c r="AF106" s="12"/>
      <c r="AG106" s="57"/>
      <c r="AH106" s="96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21"/>
    </row>
    <row r="107" spans="12:50" x14ac:dyDescent="0.25">
      <c r="L107" s="12"/>
      <c r="M107" s="57"/>
      <c r="N107" s="96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21"/>
      <c r="AF107" s="12"/>
      <c r="AG107" s="57"/>
      <c r="AH107" s="96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21"/>
    </row>
    <row r="108" spans="12:50" x14ac:dyDescent="0.25">
      <c r="L108" s="12"/>
      <c r="M108" s="57"/>
      <c r="N108" s="96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21"/>
      <c r="AF108" s="12"/>
      <c r="AG108" s="57"/>
      <c r="AH108" s="96"/>
      <c r="AI108" s="57"/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21"/>
    </row>
    <row r="109" spans="12:50" x14ac:dyDescent="0.25">
      <c r="L109" s="12"/>
      <c r="M109" s="57"/>
      <c r="N109" s="96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21"/>
      <c r="AF109" s="12"/>
      <c r="AG109" s="57"/>
      <c r="AH109" s="96"/>
      <c r="AI109" s="57"/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21"/>
    </row>
    <row r="110" spans="12:50" x14ac:dyDescent="0.25">
      <c r="L110" s="12"/>
      <c r="M110" s="57"/>
      <c r="N110" s="96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21"/>
      <c r="AF110" s="12"/>
      <c r="AG110" s="57"/>
      <c r="AH110" s="96"/>
      <c r="AI110" s="57"/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21"/>
    </row>
    <row r="111" spans="12:50" ht="25.5" x14ac:dyDescent="0.35">
      <c r="L111" s="12"/>
      <c r="M111" s="97" t="s">
        <v>35</v>
      </c>
      <c r="N111" s="98">
        <f>$E$7</f>
        <v>3</v>
      </c>
      <c r="O111" s="99" t="s">
        <v>0</v>
      </c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21"/>
      <c r="AF111" s="12"/>
      <c r="AG111" s="97" t="s">
        <v>35</v>
      </c>
      <c r="AH111" s="98">
        <f>$E$7</f>
        <v>3</v>
      </c>
      <c r="AI111" s="99" t="s">
        <v>0</v>
      </c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21"/>
    </row>
    <row r="112" spans="12:50" x14ac:dyDescent="0.25">
      <c r="L112" s="12"/>
      <c r="M112" s="57"/>
      <c r="N112" s="96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21"/>
      <c r="AF112" s="12"/>
      <c r="AG112" s="57"/>
      <c r="AH112" s="96"/>
      <c r="AI112" s="57"/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21"/>
    </row>
    <row r="113" spans="12:50" x14ac:dyDescent="0.25">
      <c r="L113" s="12"/>
      <c r="M113" s="57"/>
      <c r="N113" s="96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21"/>
      <c r="AF113" s="12"/>
      <c r="AG113" s="57"/>
      <c r="AH113" s="96"/>
      <c r="AI113" s="57"/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21"/>
    </row>
    <row r="114" spans="12:50" x14ac:dyDescent="0.25">
      <c r="L114" s="12"/>
      <c r="M114" s="57"/>
      <c r="N114" s="96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21"/>
      <c r="AF114" s="12"/>
      <c r="AG114" s="57"/>
      <c r="AH114" s="96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21"/>
    </row>
    <row r="115" spans="12:50" ht="25.5" x14ac:dyDescent="0.35">
      <c r="L115" s="12"/>
      <c r="M115" s="97" t="s">
        <v>34</v>
      </c>
      <c r="N115" s="98">
        <f>E27</f>
        <v>1909.8593171027442</v>
      </c>
      <c r="O115" s="99" t="s">
        <v>30</v>
      </c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21"/>
      <c r="AF115" s="12"/>
      <c r="AG115" s="97" t="s">
        <v>34</v>
      </c>
      <c r="AH115" s="98">
        <f>$I$27</f>
        <v>1910.0775007055222</v>
      </c>
      <c r="AI115" s="99" t="s">
        <v>30</v>
      </c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21"/>
    </row>
    <row r="116" spans="12:50" x14ac:dyDescent="0.25">
      <c r="L116" s="12"/>
      <c r="M116" s="57"/>
      <c r="N116" s="96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21"/>
      <c r="AF116" s="12"/>
      <c r="AG116" s="57"/>
      <c r="AH116" s="96"/>
      <c r="AI116" s="57"/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  <c r="AW116" s="57"/>
      <c r="AX116" s="21"/>
    </row>
    <row r="117" spans="12:50" x14ac:dyDescent="0.25">
      <c r="L117" s="12"/>
      <c r="M117" s="57"/>
      <c r="N117" s="96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21"/>
      <c r="AF117" s="12"/>
      <c r="AG117" s="57"/>
      <c r="AH117" s="96"/>
      <c r="AI117" s="57"/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X117" s="21"/>
    </row>
    <row r="118" spans="12:50" x14ac:dyDescent="0.25">
      <c r="L118" s="12"/>
      <c r="M118" s="57"/>
      <c r="N118" s="96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21"/>
      <c r="AF118" s="12"/>
      <c r="AG118" s="57"/>
      <c r="AH118" s="96"/>
      <c r="AI118" s="57"/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21"/>
    </row>
    <row r="119" spans="12:50" x14ac:dyDescent="0.25">
      <c r="L119" s="12"/>
      <c r="M119" s="57"/>
      <c r="N119" s="96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21"/>
      <c r="AF119" s="12"/>
      <c r="AG119" s="57"/>
      <c r="AH119" s="96"/>
      <c r="AI119" s="57"/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21"/>
    </row>
    <row r="120" spans="12:50" x14ac:dyDescent="0.25">
      <c r="L120" s="12"/>
      <c r="M120" s="57"/>
      <c r="N120" s="96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21"/>
      <c r="AF120" s="12"/>
      <c r="AG120" s="57"/>
      <c r="AH120" s="96"/>
      <c r="AI120" s="57"/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21"/>
    </row>
    <row r="121" spans="12:50" x14ac:dyDescent="0.25">
      <c r="L121" s="12"/>
      <c r="M121" s="57"/>
      <c r="N121" s="96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21"/>
      <c r="AF121" s="12"/>
      <c r="AG121" s="57"/>
      <c r="AH121" s="96"/>
      <c r="AI121" s="57"/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21"/>
    </row>
    <row r="122" spans="12:50" x14ac:dyDescent="0.25">
      <c r="L122" s="12"/>
      <c r="M122" s="57"/>
      <c r="N122" s="96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21"/>
      <c r="AF122" s="12"/>
      <c r="AG122" s="57"/>
      <c r="AH122" s="96"/>
      <c r="AI122" s="57"/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21"/>
    </row>
    <row r="123" spans="12:50" x14ac:dyDescent="0.25">
      <c r="L123" s="12"/>
      <c r="M123" s="57"/>
      <c r="N123" s="96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21"/>
      <c r="AF123" s="12"/>
      <c r="AG123" s="57"/>
      <c r="AH123" s="96"/>
      <c r="AI123" s="57"/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21"/>
    </row>
    <row r="124" spans="12:50" x14ac:dyDescent="0.25">
      <c r="L124" s="12"/>
      <c r="M124" s="57"/>
      <c r="N124" s="96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21"/>
      <c r="AF124" s="12"/>
      <c r="AG124" s="57"/>
      <c r="AH124" s="96"/>
      <c r="AI124" s="57"/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21"/>
    </row>
    <row r="125" spans="12:50" x14ac:dyDescent="0.25">
      <c r="L125" s="12"/>
      <c r="M125" s="57"/>
      <c r="N125" s="96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21"/>
      <c r="AF125" s="12"/>
      <c r="AG125" s="57"/>
      <c r="AH125" s="96"/>
      <c r="AI125" s="57"/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21"/>
    </row>
    <row r="126" spans="12:50" x14ac:dyDescent="0.25">
      <c r="L126" s="12"/>
      <c r="M126" s="57"/>
      <c r="N126" s="96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21"/>
      <c r="AF126" s="12"/>
      <c r="AG126" s="57"/>
      <c r="AH126" s="96"/>
      <c r="AI126" s="57"/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21"/>
    </row>
    <row r="127" spans="12:50" x14ac:dyDescent="0.25">
      <c r="L127" s="12"/>
      <c r="M127" s="57"/>
      <c r="N127" s="96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21"/>
      <c r="AF127" s="12"/>
      <c r="AG127" s="57"/>
      <c r="AH127" s="96"/>
      <c r="AI127" s="57"/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21"/>
    </row>
    <row r="128" spans="12:50" x14ac:dyDescent="0.25">
      <c r="L128" s="12"/>
      <c r="M128" s="57"/>
      <c r="N128" s="96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21"/>
      <c r="AF128" s="12"/>
      <c r="AG128" s="57"/>
      <c r="AH128" s="96"/>
      <c r="AI128" s="57"/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21"/>
    </row>
    <row r="129" spans="12:50" x14ac:dyDescent="0.25">
      <c r="L129" s="12"/>
      <c r="M129" s="57"/>
      <c r="N129" s="96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21"/>
      <c r="AF129" s="12"/>
      <c r="AG129" s="57"/>
      <c r="AH129" s="96"/>
      <c r="AI129" s="57"/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  <c r="AW129" s="57"/>
      <c r="AX129" s="21"/>
    </row>
    <row r="130" spans="12:50" x14ac:dyDescent="0.25">
      <c r="L130" s="12"/>
      <c r="M130" s="57"/>
      <c r="N130" s="96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21"/>
      <c r="AF130" s="12"/>
      <c r="AG130" s="57"/>
      <c r="AH130" s="96"/>
      <c r="AI130" s="57"/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21"/>
    </row>
    <row r="131" spans="12:50" x14ac:dyDescent="0.25">
      <c r="L131" s="12"/>
      <c r="M131" s="57"/>
      <c r="N131" s="96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21"/>
      <c r="AF131" s="12"/>
      <c r="AG131" s="57"/>
      <c r="AH131" s="96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21"/>
    </row>
    <row r="132" spans="12:50" x14ac:dyDescent="0.25">
      <c r="L132" s="12"/>
      <c r="M132" s="57"/>
      <c r="N132" s="96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21"/>
      <c r="AF132" s="12"/>
      <c r="AG132" s="57"/>
      <c r="AH132" s="96"/>
      <c r="AI132" s="57"/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21"/>
    </row>
    <row r="133" spans="12:50" x14ac:dyDescent="0.25">
      <c r="L133" s="12"/>
      <c r="M133" s="57"/>
      <c r="N133" s="96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21"/>
      <c r="AF133" s="12"/>
      <c r="AG133" s="57"/>
      <c r="AH133" s="96"/>
      <c r="AI133" s="57"/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21"/>
    </row>
    <row r="134" spans="12:50" x14ac:dyDescent="0.25">
      <c r="L134" s="12"/>
      <c r="M134" s="57"/>
      <c r="N134" s="96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21"/>
      <c r="AF134" s="12"/>
      <c r="AG134" s="57"/>
      <c r="AH134" s="96"/>
      <c r="AI134" s="57"/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21"/>
    </row>
    <row r="135" spans="12:50" x14ac:dyDescent="0.25">
      <c r="L135" s="12"/>
      <c r="M135" s="57"/>
      <c r="N135" s="96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21"/>
      <c r="AF135" s="12"/>
      <c r="AG135" s="57"/>
      <c r="AH135" s="96"/>
      <c r="AI135" s="57"/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21"/>
    </row>
    <row r="136" spans="12:50" x14ac:dyDescent="0.25">
      <c r="L136" s="12"/>
      <c r="M136" s="57"/>
      <c r="N136" s="96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21"/>
      <c r="AF136" s="12"/>
      <c r="AG136" s="57"/>
      <c r="AH136" s="96"/>
      <c r="AI136" s="57"/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21"/>
    </row>
    <row r="137" spans="12:50" x14ac:dyDescent="0.25">
      <c r="L137" s="12"/>
      <c r="M137" s="57"/>
      <c r="N137" s="96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21"/>
      <c r="AF137" s="12"/>
      <c r="AG137" s="57"/>
      <c r="AH137" s="96"/>
      <c r="AI137" s="57"/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21"/>
    </row>
    <row r="138" spans="12:50" x14ac:dyDescent="0.25">
      <c r="L138" s="12"/>
      <c r="M138" s="57"/>
      <c r="N138" s="96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21"/>
      <c r="AF138" s="12"/>
      <c r="AG138" s="57"/>
      <c r="AH138" s="96"/>
      <c r="AI138" s="57"/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21"/>
    </row>
    <row r="139" spans="12:50" x14ac:dyDescent="0.25">
      <c r="L139" s="12"/>
      <c r="M139" s="57"/>
      <c r="N139" s="96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21"/>
      <c r="AF139" s="12"/>
      <c r="AG139" s="57"/>
      <c r="AH139" s="96"/>
      <c r="AI139" s="57"/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21"/>
    </row>
    <row r="140" spans="12:50" x14ac:dyDescent="0.25">
      <c r="L140" s="12"/>
      <c r="M140" s="57"/>
      <c r="N140" s="96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21"/>
      <c r="AF140" s="12"/>
      <c r="AG140" s="57"/>
      <c r="AH140" s="96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21"/>
    </row>
    <row r="141" spans="12:50" x14ac:dyDescent="0.25">
      <c r="L141" s="12"/>
      <c r="M141" s="57"/>
      <c r="N141" s="96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21"/>
      <c r="AF141" s="12"/>
      <c r="AG141" s="57"/>
      <c r="AH141" s="96"/>
      <c r="AI141" s="57"/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21"/>
    </row>
    <row r="142" spans="12:50" x14ac:dyDescent="0.25">
      <c r="L142" s="12"/>
      <c r="M142" s="57"/>
      <c r="N142" s="96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21"/>
      <c r="AF142" s="12"/>
      <c r="AG142" s="57"/>
      <c r="AH142" s="96"/>
      <c r="AI142" s="57"/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21"/>
    </row>
    <row r="143" spans="12:50" x14ac:dyDescent="0.25">
      <c r="L143" s="12"/>
      <c r="M143" s="57"/>
      <c r="N143" s="96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21"/>
      <c r="AF143" s="12"/>
      <c r="AG143" s="57"/>
      <c r="AH143" s="96"/>
      <c r="AI143" s="57"/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21"/>
    </row>
    <row r="144" spans="12:50" x14ac:dyDescent="0.25">
      <c r="L144" s="12"/>
      <c r="M144" s="57"/>
      <c r="N144" s="96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21"/>
      <c r="AF144" s="12"/>
      <c r="AG144" s="57"/>
      <c r="AH144" s="96"/>
      <c r="AI144" s="57"/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21"/>
    </row>
    <row r="145" spans="12:50" x14ac:dyDescent="0.25">
      <c r="L145" s="12"/>
      <c r="M145" s="57"/>
      <c r="N145" s="96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21"/>
      <c r="AF145" s="12"/>
      <c r="AG145" s="57"/>
      <c r="AH145" s="96"/>
      <c r="AI145" s="57"/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21"/>
    </row>
    <row r="146" spans="12:50" x14ac:dyDescent="0.25">
      <c r="L146" s="12"/>
      <c r="M146" s="57"/>
      <c r="N146" s="96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21"/>
      <c r="AF146" s="12"/>
      <c r="AG146" s="57"/>
      <c r="AH146" s="96"/>
      <c r="AI146" s="57"/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21"/>
    </row>
    <row r="147" spans="12:50" x14ac:dyDescent="0.25">
      <c r="L147" s="12"/>
      <c r="M147" s="57"/>
      <c r="N147" s="96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21"/>
      <c r="AF147" s="12"/>
      <c r="AG147" s="57"/>
      <c r="AH147" s="96"/>
      <c r="AI147" s="57"/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21"/>
    </row>
    <row r="148" spans="12:50" x14ac:dyDescent="0.25">
      <c r="L148" s="12"/>
      <c r="M148" s="57"/>
      <c r="N148" s="96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21"/>
      <c r="AF148" s="12"/>
      <c r="AG148" s="57"/>
      <c r="AH148" s="96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  <c r="AX148" s="21"/>
    </row>
    <row r="149" spans="12:50" x14ac:dyDescent="0.25">
      <c r="L149" s="12"/>
      <c r="M149" s="57"/>
      <c r="N149" s="96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21"/>
      <c r="AF149" s="12"/>
      <c r="AG149" s="57"/>
      <c r="AH149" s="96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21"/>
    </row>
    <row r="150" spans="12:50" x14ac:dyDescent="0.25">
      <c r="L150" s="12"/>
      <c r="M150" s="57"/>
      <c r="N150" s="96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21"/>
      <c r="AF150" s="12"/>
      <c r="AG150" s="57"/>
      <c r="AH150" s="96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  <c r="AW150" s="57"/>
      <c r="AX150" s="21"/>
    </row>
    <row r="151" spans="12:50" x14ac:dyDescent="0.25">
      <c r="L151" s="12"/>
      <c r="M151" s="57"/>
      <c r="N151" s="96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21"/>
      <c r="AF151" s="12"/>
      <c r="AG151" s="57"/>
      <c r="AH151" s="96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  <c r="AW151" s="57"/>
      <c r="AX151" s="21"/>
    </row>
    <row r="152" spans="12:50" x14ac:dyDescent="0.25">
      <c r="L152" s="12"/>
      <c r="M152" s="57"/>
      <c r="N152" s="96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21"/>
      <c r="AF152" s="12"/>
      <c r="AG152" s="57"/>
      <c r="AH152" s="96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21"/>
    </row>
    <row r="153" spans="12:50" x14ac:dyDescent="0.25">
      <c r="L153" s="12"/>
      <c r="M153" s="57"/>
      <c r="N153" s="96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21"/>
      <c r="AF153" s="12"/>
      <c r="AG153" s="57"/>
      <c r="AH153" s="96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21"/>
    </row>
    <row r="154" spans="12:50" x14ac:dyDescent="0.25">
      <c r="L154" s="12"/>
      <c r="M154" s="57"/>
      <c r="N154" s="96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21"/>
      <c r="AF154" s="12"/>
      <c r="AG154" s="57"/>
      <c r="AH154" s="96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21"/>
    </row>
    <row r="155" spans="12:50" x14ac:dyDescent="0.25">
      <c r="L155" s="12"/>
      <c r="M155" s="57"/>
      <c r="N155" s="96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21"/>
      <c r="AF155" s="12"/>
      <c r="AG155" s="57"/>
      <c r="AH155" s="96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  <c r="AW155" s="57"/>
      <c r="AX155" s="21"/>
    </row>
    <row r="156" spans="12:50" x14ac:dyDescent="0.25">
      <c r="L156" s="12"/>
      <c r="M156" s="57"/>
      <c r="N156" s="96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21"/>
      <c r="AF156" s="12"/>
      <c r="AG156" s="57"/>
      <c r="AH156" s="96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  <c r="AW156" s="57"/>
      <c r="AX156" s="21"/>
    </row>
    <row r="157" spans="12:50" x14ac:dyDescent="0.25">
      <c r="L157" s="12"/>
      <c r="M157" s="57"/>
      <c r="N157" s="96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21"/>
      <c r="AF157" s="12"/>
      <c r="AG157" s="57"/>
      <c r="AH157" s="96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  <c r="AX157" s="21"/>
    </row>
    <row r="158" spans="12:50" x14ac:dyDescent="0.25">
      <c r="L158" s="12"/>
      <c r="M158" s="57"/>
      <c r="N158" s="96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21"/>
      <c r="AF158" s="12"/>
      <c r="AG158" s="57"/>
      <c r="AH158" s="96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21"/>
    </row>
    <row r="159" spans="12:50" x14ac:dyDescent="0.25">
      <c r="L159" s="12"/>
      <c r="M159" s="57"/>
      <c r="N159" s="96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21"/>
      <c r="AF159" s="12"/>
      <c r="AG159" s="57"/>
      <c r="AH159" s="96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  <c r="AX159" s="21"/>
    </row>
    <row r="160" spans="12:50" x14ac:dyDescent="0.25">
      <c r="L160" s="12"/>
      <c r="M160" s="57"/>
      <c r="N160" s="96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21"/>
      <c r="AF160" s="12"/>
      <c r="AG160" s="57"/>
      <c r="AH160" s="96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  <c r="AW160" s="57"/>
      <c r="AX160" s="21"/>
    </row>
    <row r="161" spans="12:50" x14ac:dyDescent="0.25">
      <c r="L161" s="12"/>
      <c r="M161" s="57"/>
      <c r="N161" s="96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21"/>
      <c r="AF161" s="12"/>
      <c r="AG161" s="57"/>
      <c r="AH161" s="96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  <c r="AW161" s="57"/>
      <c r="AX161" s="21"/>
    </row>
    <row r="162" spans="12:50" x14ac:dyDescent="0.25">
      <c r="L162" s="12"/>
      <c r="M162" s="57"/>
      <c r="N162" s="96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21"/>
      <c r="AF162" s="12"/>
      <c r="AG162" s="57"/>
      <c r="AH162" s="96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  <c r="AW162" s="57"/>
      <c r="AX162" s="21"/>
    </row>
    <row r="163" spans="12:50" x14ac:dyDescent="0.25">
      <c r="L163" s="12"/>
      <c r="M163" s="57"/>
      <c r="N163" s="96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21"/>
      <c r="AF163" s="12"/>
      <c r="AG163" s="57"/>
      <c r="AH163" s="96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21"/>
    </row>
    <row r="164" spans="12:50" x14ac:dyDescent="0.25">
      <c r="L164" s="12"/>
      <c r="M164" s="57"/>
      <c r="N164" s="96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21"/>
      <c r="AF164" s="12"/>
      <c r="AG164" s="57"/>
      <c r="AH164" s="96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21"/>
    </row>
    <row r="165" spans="12:50" x14ac:dyDescent="0.25">
      <c r="L165" s="12"/>
      <c r="M165" s="57"/>
      <c r="N165" s="96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21"/>
      <c r="AF165" s="12"/>
      <c r="AG165" s="57"/>
      <c r="AH165" s="96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21"/>
    </row>
    <row r="166" spans="12:50" x14ac:dyDescent="0.25">
      <c r="L166" s="12"/>
      <c r="M166" s="57"/>
      <c r="N166" s="96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21"/>
      <c r="AF166" s="12"/>
      <c r="AG166" s="57"/>
      <c r="AH166" s="96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21"/>
    </row>
    <row r="167" spans="12:50" x14ac:dyDescent="0.25">
      <c r="L167" s="12"/>
      <c r="M167" s="57"/>
      <c r="N167" s="96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21"/>
      <c r="AF167" s="12"/>
      <c r="AG167" s="57"/>
      <c r="AH167" s="96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21"/>
    </row>
    <row r="168" spans="12:50" x14ac:dyDescent="0.25">
      <c r="L168" s="12"/>
      <c r="M168" s="57"/>
      <c r="N168" s="96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21"/>
      <c r="AF168" s="12"/>
      <c r="AG168" s="57"/>
      <c r="AH168" s="96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21"/>
    </row>
    <row r="169" spans="12:50" ht="18.75" thickBot="1" x14ac:dyDescent="0.3">
      <c r="L169" s="23"/>
      <c r="M169" s="24"/>
      <c r="N169" s="103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6"/>
      <c r="AF169" s="23"/>
      <c r="AG169" s="24"/>
      <c r="AH169" s="103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6"/>
    </row>
  </sheetData>
  <sheetProtection algorithmName="SHA-512" hashValue="jwvNmp7D495H/IoFoRPQDsztzixbz3CauAlFQGeoMBW83ANf5N93CkQsXPXSmqIyi/2BwPbL77MbCUY8QGQ45A==" saltValue="4KjjUN39WbwQKyf3CiLNhA==" spinCount="100000" sheet="1" objects="1" scenarios="1"/>
  <protectedRanges>
    <protectedRange sqref="E23" name="Range3"/>
    <protectedRange sqref="E5:G5" name="Range1"/>
    <protectedRange sqref="E13:G13 E10" name="Range2"/>
  </protectedRanges>
  <mergeCells count="1">
    <mergeCell ref="F9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1B064-41DA-44C0-AC3B-22AEC8075C79}">
  <dimension ref="A1:L36"/>
  <sheetViews>
    <sheetView zoomScaleNormal="100" workbookViewId="0">
      <selection activeCell="E8" sqref="E8"/>
    </sheetView>
  </sheetViews>
  <sheetFormatPr defaultRowHeight="18" x14ac:dyDescent="0.25"/>
  <cols>
    <col min="1" max="1" width="4.5703125" customWidth="1"/>
    <col min="2" max="2" width="4.28515625" style="2" customWidth="1"/>
    <col min="3" max="3" width="24.85546875" style="2" customWidth="1"/>
    <col min="4" max="4" width="24.42578125" style="2" customWidth="1"/>
    <col min="5" max="5" width="19.7109375" style="2" customWidth="1"/>
    <col min="6" max="6" width="15.85546875" style="2" customWidth="1"/>
    <col min="7" max="7" width="13.42578125" style="2" customWidth="1"/>
    <col min="8" max="8" width="51.28515625" style="2" bestFit="1" customWidth="1"/>
    <col min="9" max="9" width="20.85546875" style="2" customWidth="1"/>
    <col min="10" max="10" width="13.28515625" style="2" customWidth="1"/>
    <col min="11" max="11" width="13" style="2" customWidth="1"/>
    <col min="12" max="12" width="5" style="2" customWidth="1"/>
    <col min="13" max="13" width="17.85546875" style="2" customWidth="1"/>
    <col min="14" max="14" width="11.7109375" style="2" bestFit="1" customWidth="1"/>
    <col min="15" max="16384" width="9.140625" style="2"/>
  </cols>
  <sheetData>
    <row r="1" spans="2:12" ht="18.75" thickBot="1" x14ac:dyDescent="0.3"/>
    <row r="2" spans="2:12" ht="18.75" thickBot="1" x14ac:dyDescent="0.3">
      <c r="B2" s="34"/>
      <c r="C2" s="79" t="s">
        <v>28</v>
      </c>
      <c r="D2" s="35"/>
      <c r="E2" s="36"/>
      <c r="F2" s="36"/>
      <c r="G2" s="36"/>
      <c r="H2" s="35"/>
      <c r="I2" s="35"/>
      <c r="J2" s="35"/>
      <c r="K2" s="35"/>
      <c r="L2" s="37"/>
    </row>
    <row r="3" spans="2:12" ht="18.75" thickBot="1" x14ac:dyDescent="0.3">
      <c r="B3" s="38"/>
      <c r="C3" s="72"/>
      <c r="D3" s="67"/>
      <c r="E3" s="68"/>
      <c r="F3" s="68"/>
      <c r="G3" s="68"/>
      <c r="H3" s="67"/>
      <c r="I3" s="67"/>
      <c r="J3" s="67"/>
      <c r="K3" s="73"/>
      <c r="L3" s="39"/>
    </row>
    <row r="4" spans="2:12" ht="18.75" thickBot="1" x14ac:dyDescent="0.3">
      <c r="B4" s="38"/>
      <c r="C4" s="74"/>
      <c r="D4" s="58" t="s">
        <v>15</v>
      </c>
      <c r="E4" s="49">
        <v>955.36613046486991</v>
      </c>
      <c r="F4" s="69" t="s">
        <v>10</v>
      </c>
      <c r="G4" s="70"/>
      <c r="H4" s="71"/>
      <c r="I4" s="57"/>
      <c r="J4" s="57"/>
      <c r="K4" s="21"/>
      <c r="L4" s="39"/>
    </row>
    <row r="5" spans="2:12" ht="18.75" thickBot="1" x14ac:dyDescent="0.3">
      <c r="B5" s="38"/>
      <c r="C5" s="74"/>
      <c r="D5" s="57"/>
      <c r="E5" s="16"/>
      <c r="F5" s="16"/>
      <c r="G5" s="16"/>
      <c r="K5" s="21"/>
      <c r="L5" s="39"/>
    </row>
    <row r="6" spans="2:12" ht="18.75" thickBot="1" x14ac:dyDescent="0.3">
      <c r="B6" s="38"/>
      <c r="C6" s="74"/>
      <c r="D6" s="57"/>
      <c r="E6" s="43" t="s">
        <v>0</v>
      </c>
      <c r="F6" s="44" t="s">
        <v>16</v>
      </c>
      <c r="G6" s="45" t="s">
        <v>2</v>
      </c>
      <c r="K6" s="21"/>
      <c r="L6" s="39"/>
    </row>
    <row r="7" spans="2:12" ht="19.5" thickBot="1" x14ac:dyDescent="0.35">
      <c r="B7" s="38"/>
      <c r="C7" s="74"/>
      <c r="D7" s="75" t="s">
        <v>5</v>
      </c>
      <c r="E7" s="46">
        <v>31</v>
      </c>
      <c r="F7" s="47">
        <v>20</v>
      </c>
      <c r="G7" s="48">
        <v>0</v>
      </c>
      <c r="K7" s="21"/>
      <c r="L7" s="39"/>
    </row>
    <row r="8" spans="2:12" x14ac:dyDescent="0.25">
      <c r="B8" s="38"/>
      <c r="C8" s="74"/>
      <c r="D8" s="57"/>
      <c r="K8" s="21"/>
      <c r="L8" s="39"/>
    </row>
    <row r="9" spans="2:12" ht="18.75" x14ac:dyDescent="0.3">
      <c r="B9" s="38"/>
      <c r="C9" s="74"/>
      <c r="D9" s="75" t="s">
        <v>6</v>
      </c>
      <c r="E9" s="32">
        <f>E7+(F7+G7/60)/60</f>
        <v>31.333333333333332</v>
      </c>
      <c r="F9" s="2" t="s">
        <v>0</v>
      </c>
      <c r="K9" s="21"/>
      <c r="L9" s="39"/>
    </row>
    <row r="10" spans="2:12" x14ac:dyDescent="0.25">
      <c r="B10" s="38"/>
      <c r="C10" s="74"/>
      <c r="D10" s="75"/>
      <c r="E10" s="32"/>
      <c r="K10" s="21"/>
      <c r="L10" s="39"/>
    </row>
    <row r="11" spans="2:12" x14ac:dyDescent="0.25">
      <c r="B11" s="38"/>
      <c r="C11" s="74" t="s">
        <v>26</v>
      </c>
      <c r="D11" s="57"/>
      <c r="H11" s="33"/>
      <c r="K11" s="21"/>
      <c r="L11" s="39"/>
    </row>
    <row r="12" spans="2:12" ht="18.75" thickBot="1" x14ac:dyDescent="0.3">
      <c r="B12" s="38"/>
      <c r="C12" s="74"/>
      <c r="D12" s="57"/>
      <c r="K12" s="21"/>
      <c r="L12" s="39"/>
    </row>
    <row r="13" spans="2:12" ht="18.75" thickBot="1" x14ac:dyDescent="0.3">
      <c r="B13" s="38"/>
      <c r="C13" s="74"/>
      <c r="D13" s="76" t="s">
        <v>21</v>
      </c>
      <c r="E13" s="49" t="s">
        <v>25</v>
      </c>
      <c r="F13" s="66">
        <f>VALUE(SUBSTITUTE(E13,"+",""))</f>
        <v>1940.59</v>
      </c>
      <c r="K13" s="21"/>
      <c r="L13" s="39"/>
    </row>
    <row r="14" spans="2:12" ht="18.75" thickBot="1" x14ac:dyDescent="0.3">
      <c r="B14" s="38"/>
      <c r="C14" s="74"/>
      <c r="D14" s="58"/>
      <c r="E14" s="61"/>
      <c r="K14" s="21"/>
      <c r="L14" s="39"/>
    </row>
    <row r="15" spans="2:12" ht="24" thickBot="1" x14ac:dyDescent="0.4">
      <c r="B15" s="38"/>
      <c r="C15" s="6"/>
      <c r="D15" s="8"/>
      <c r="E15" s="7" t="s">
        <v>7</v>
      </c>
      <c r="F15" s="8"/>
      <c r="G15" s="31"/>
      <c r="H15" s="9"/>
      <c r="I15" s="9"/>
      <c r="J15" s="10" t="s">
        <v>17</v>
      </c>
      <c r="K15" s="11"/>
      <c r="L15" s="39"/>
    </row>
    <row r="16" spans="2:12" x14ac:dyDescent="0.25">
      <c r="B16" s="38"/>
      <c r="C16" s="74"/>
      <c r="D16" s="28"/>
      <c r="E16" s="28"/>
      <c r="F16" s="29">
        <f>(E19-E18)*60</f>
        <v>59.835529140244113</v>
      </c>
      <c r="G16" s="30"/>
      <c r="I16" s="13">
        <f>IF(E4=0,0,DEGREES(ASIN(50/E4))*2)</f>
        <v>6.0000000000000009</v>
      </c>
      <c r="J16" s="14">
        <f>(I16-I18)*60</f>
        <v>5.3290705182007514E-14</v>
      </c>
      <c r="K16" s="15">
        <f>(J16-J18)*60</f>
        <v>3.1974423109204508E-12</v>
      </c>
      <c r="L16" s="39"/>
    </row>
    <row r="17" spans="2:12" x14ac:dyDescent="0.25">
      <c r="B17" s="38"/>
      <c r="C17" s="74"/>
      <c r="D17" s="57"/>
      <c r="E17" s="16" t="s">
        <v>0</v>
      </c>
      <c r="F17" s="16" t="s">
        <v>16</v>
      </c>
      <c r="G17" s="17" t="s">
        <v>2</v>
      </c>
      <c r="I17" s="16" t="s">
        <v>0</v>
      </c>
      <c r="J17" s="16" t="s">
        <v>16</v>
      </c>
      <c r="K17" s="17" t="s">
        <v>2</v>
      </c>
      <c r="L17" s="39"/>
    </row>
    <row r="18" spans="2:12" x14ac:dyDescent="0.25">
      <c r="B18" s="38"/>
      <c r="C18" s="74"/>
      <c r="D18" s="58" t="s">
        <v>18</v>
      </c>
      <c r="E18" s="19">
        <f>IF(E4=0,0,ROUNDDOWN(E19,0))</f>
        <v>5</v>
      </c>
      <c r="F18" s="19">
        <f>IF(E4=0,0,ROUNDDOWN(F16,0))</f>
        <v>59</v>
      </c>
      <c r="G18" s="20">
        <f>IF(E4=0,0,(F16-F18)*60)</f>
        <v>50.131748414646751</v>
      </c>
      <c r="H18" s="1" t="s">
        <v>19</v>
      </c>
      <c r="I18" s="19">
        <f>IF(E4=0,0,ROUNDDOWN(I16,0))</f>
        <v>6</v>
      </c>
      <c r="J18" s="19">
        <f>IF(E4=0,0,ROUNDDOWN(J16,0))</f>
        <v>0</v>
      </c>
      <c r="K18" s="20">
        <f>IF(E4=0,0,ROUNDDOWN(K16,1))</f>
        <v>0</v>
      </c>
      <c r="L18" s="39"/>
    </row>
    <row r="19" spans="2:12" x14ac:dyDescent="0.25">
      <c r="B19" s="38"/>
      <c r="C19" s="74"/>
      <c r="D19" s="58" t="s">
        <v>20</v>
      </c>
      <c r="E19" s="22">
        <f>IF(E4=0,0,(100*360)/(E4*2*PI()))</f>
        <v>5.9972588190040685</v>
      </c>
      <c r="F19" s="16" t="s">
        <v>0</v>
      </c>
      <c r="G19" s="21"/>
      <c r="H19" s="1" t="s">
        <v>19</v>
      </c>
      <c r="I19" s="22">
        <f>I16</f>
        <v>6.0000000000000009</v>
      </c>
      <c r="J19" s="2" t="s">
        <v>0</v>
      </c>
      <c r="K19" s="21"/>
      <c r="L19" s="39"/>
    </row>
    <row r="20" spans="2:12" x14ac:dyDescent="0.25">
      <c r="B20" s="38"/>
      <c r="C20" s="74"/>
      <c r="D20" s="57"/>
      <c r="G20" s="21"/>
      <c r="K20" s="21"/>
      <c r="L20" s="39"/>
    </row>
    <row r="21" spans="2:12" x14ac:dyDescent="0.25">
      <c r="B21" s="38"/>
      <c r="C21" s="74"/>
      <c r="D21" s="58" t="s">
        <v>12</v>
      </c>
      <c r="E21" s="4">
        <f>PI()*E4*E9/180</f>
        <v>522.46091554435668</v>
      </c>
      <c r="F21" s="2" t="s">
        <v>10</v>
      </c>
      <c r="G21" s="21"/>
      <c r="H21" s="1" t="s">
        <v>13</v>
      </c>
      <c r="I21" s="4">
        <f>IF(E4=0,0,100*E9/I19)</f>
        <v>522.22222222222206</v>
      </c>
      <c r="J21" s="2" t="s">
        <v>10</v>
      </c>
      <c r="K21" s="21"/>
      <c r="L21" s="39"/>
    </row>
    <row r="22" spans="2:12" x14ac:dyDescent="0.25">
      <c r="B22" s="38"/>
      <c r="C22" s="74"/>
      <c r="D22" s="58" t="s">
        <v>14</v>
      </c>
      <c r="E22" s="56">
        <f>E21</f>
        <v>522.46091554435668</v>
      </c>
      <c r="F22" s="57" t="s">
        <v>10</v>
      </c>
      <c r="G22" s="21"/>
      <c r="H22" s="58" t="s">
        <v>14</v>
      </c>
      <c r="I22" s="56">
        <f>PI()*E4*E9/180</f>
        <v>522.46091554435668</v>
      </c>
      <c r="J22" s="57" t="s">
        <v>10</v>
      </c>
      <c r="K22" s="21"/>
      <c r="L22" s="39"/>
    </row>
    <row r="23" spans="2:12" x14ac:dyDescent="0.25">
      <c r="B23" s="38"/>
      <c r="C23" s="74"/>
      <c r="D23" s="58" t="s">
        <v>24</v>
      </c>
      <c r="E23" s="56">
        <f>E4*TAN(RADIANS(E9)/2)</f>
        <v>267.94168214607106</v>
      </c>
      <c r="F23" s="57" t="s">
        <v>10</v>
      </c>
      <c r="G23" s="21"/>
      <c r="H23" s="18" t="s">
        <v>24</v>
      </c>
      <c r="I23" s="56">
        <f>E4*TAN(RADIANS(E9)/2)</f>
        <v>267.94168214607106</v>
      </c>
      <c r="J23" s="57" t="s">
        <v>10</v>
      </c>
      <c r="K23" s="21"/>
      <c r="L23" s="39"/>
    </row>
    <row r="24" spans="2:12" x14ac:dyDescent="0.25">
      <c r="B24" s="38"/>
      <c r="C24" s="74"/>
      <c r="D24" s="58" t="s">
        <v>22</v>
      </c>
      <c r="E24" s="62">
        <f>F13-E23</f>
        <v>1672.6483178539288</v>
      </c>
      <c r="F24" s="57"/>
      <c r="G24" s="21"/>
      <c r="H24" s="18" t="s">
        <v>22</v>
      </c>
      <c r="I24" s="62">
        <f>F13-I23</f>
        <v>1672.6483178539288</v>
      </c>
      <c r="J24" s="57"/>
      <c r="K24" s="21"/>
      <c r="L24" s="39"/>
    </row>
    <row r="25" spans="2:12" ht="18.75" thickBot="1" x14ac:dyDescent="0.3">
      <c r="B25" s="38"/>
      <c r="C25" s="77"/>
      <c r="D25" s="25" t="s">
        <v>23</v>
      </c>
      <c r="E25" s="63">
        <f>+E24+E21</f>
        <v>2195.1092333982856</v>
      </c>
      <c r="F25" s="24"/>
      <c r="G25" s="26"/>
      <c r="H25" s="55" t="s">
        <v>23</v>
      </c>
      <c r="I25" s="63">
        <f>+I24+I21</f>
        <v>2194.870540076151</v>
      </c>
      <c r="J25" s="24"/>
      <c r="K25" s="26"/>
      <c r="L25" s="39"/>
    </row>
    <row r="26" spans="2:12" ht="18.75" thickBot="1" x14ac:dyDescent="0.3">
      <c r="B26" s="40"/>
      <c r="C26" s="41"/>
      <c r="D26" s="41"/>
      <c r="E26" s="41"/>
      <c r="F26" s="41"/>
      <c r="G26" s="41"/>
      <c r="H26" s="41"/>
      <c r="I26" s="41"/>
      <c r="J26" s="41"/>
      <c r="K26" s="78" t="s">
        <v>27</v>
      </c>
      <c r="L26" s="42"/>
    </row>
    <row r="30" spans="2:12" x14ac:dyDescent="0.25">
      <c r="E30" s="4"/>
    </row>
    <row r="31" spans="2:12" x14ac:dyDescent="0.25">
      <c r="E31" s="4"/>
    </row>
    <row r="32" spans="2:12" ht="23.25" x14ac:dyDescent="0.35">
      <c r="E32" s="5"/>
      <c r="I32" s="5"/>
    </row>
    <row r="34" spans="4:9" x14ac:dyDescent="0.25">
      <c r="D34" s="1"/>
      <c r="E34" s="4"/>
      <c r="H34" s="1"/>
      <c r="I34" s="4"/>
    </row>
    <row r="35" spans="4:9" x14ac:dyDescent="0.25">
      <c r="D35" s="1"/>
      <c r="E35" s="4"/>
      <c r="H35" s="1"/>
      <c r="I35" s="4"/>
    </row>
    <row r="36" spans="4:9" x14ac:dyDescent="0.25">
      <c r="D36" s="1"/>
      <c r="H36" s="1"/>
      <c r="I36" s="4"/>
    </row>
  </sheetData>
  <sheetProtection sheet="1" objects="1" scenarios="1"/>
  <protectedRanges>
    <protectedRange sqref="E7:G7" name="Range3"/>
    <protectedRange sqref="E13" name="Range3_2"/>
    <protectedRange sqref="E4" name="Range2"/>
  </protectedRange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F5675-BFED-4940-9B80-1392B2B482C7}">
  <dimension ref="A1"/>
  <sheetViews>
    <sheetView workbookViewId="0">
      <selection activeCell="W9" sqref="W9"/>
    </sheetView>
  </sheetViews>
  <sheetFormatPr defaultRowHeight="15" x14ac:dyDescent="0.25"/>
  <sheetData/>
  <sheetProtection algorithmName="SHA-512" hashValue="+WOWCZdjGSQTazfs9ZM3iLhMeyQwVzqIVJd/H/giPlkfkl6nOpkj5j9eZNBeEYBJsyYETBsYrpGItOFBucZBMA==" saltValue="fI/GdZAncE96tUjZecykwA==" spinCount="100000"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F9F6E-F6EA-4000-B2C1-ACFF4E895905}">
  <dimension ref="A1"/>
  <sheetViews>
    <sheetView workbookViewId="0">
      <selection activeCell="W16" sqref="W16"/>
    </sheetView>
  </sheetViews>
  <sheetFormatPr defaultRowHeight="15" x14ac:dyDescent="0.25"/>
  <sheetData/>
  <sheetProtection algorithmName="SHA-512" hashValue="neWPJ35Jj0MpPBg+QaPVnRchaWV4jVdJarTu+m0unUaoYepQu05qEcB+67V+neSbOvgw1bIxV5H05/vhrxPvaQ==" saltValue="tk9k9RzXcvV1ZfGSmkcQ2g==" spinCount="100000"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E6743-62FF-4798-BB96-1AF8D7FE1192}">
  <dimension ref="A1"/>
  <sheetViews>
    <sheetView workbookViewId="0">
      <selection activeCell="Y96" sqref="Y96"/>
    </sheetView>
  </sheetViews>
  <sheetFormatPr defaultRowHeight="15" x14ac:dyDescent="0.25"/>
  <sheetData/>
  <sheetProtection algorithmName="SHA-512" hashValue="6vnnZ1jCEnTUQOgo9/TMQ69G4NeO6mGbrTZvoSM0Vax/+zh7YmG/FumBQvCJaOtvUWAzN5+0t0Vf6/4nlZx84A==" saltValue="OJQTh4EepOQiZ8apMGpb1A==" spinCount="100000" sheet="1" objects="1" scenario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7370A15C5A542BBF370C0FA5C4FB4" ma:contentTypeVersion="18" ma:contentTypeDescription="Create a new document." ma:contentTypeScope="" ma:versionID="41c4118b6eb67d7282a9164a31fe4ded">
  <xsd:schema xmlns:xsd="http://www.w3.org/2001/XMLSchema" xmlns:xs="http://www.w3.org/2001/XMLSchema" xmlns:p="http://schemas.microsoft.com/office/2006/metadata/properties" xmlns:ns1="http://schemas.microsoft.com/sharepoint/v3" xmlns:ns2="9a28d2e1-924e-4715-9bdb-0bef845c549c" xmlns:ns3="b9b8280f-533f-4ab1-999e-21e84614c560" targetNamespace="http://schemas.microsoft.com/office/2006/metadata/properties" ma:root="true" ma:fieldsID="f0e4ba4bd71b5d83461e2d2db6284e25" ns1:_="" ns2:_="" ns3:_="">
    <xsd:import namespace="http://schemas.microsoft.com/sharepoint/v3"/>
    <xsd:import namespace="9a28d2e1-924e-4715-9bdb-0bef845c549c"/>
    <xsd:import namespace="b9b8280f-533f-4ab1-999e-21e84614c5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28d2e1-924e-4715-9bdb-0bef845c5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4e9f005-b5d5-426d-ad25-f47e055fb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8280f-533f-4ab1-999e-21e84614c56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fc2d509-d09a-43d4-8fdd-f00ce7d2e0d9}" ma:internalName="TaxCatchAll" ma:showField="CatchAllData" ma:web="b9b8280f-533f-4ab1-999e-21e84614c5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9a28d2e1-924e-4715-9bdb-0bef845c549c">
      <Terms xmlns="http://schemas.microsoft.com/office/infopath/2007/PartnerControls"/>
    </lcf76f155ced4ddcb4097134ff3c332f>
    <TaxCatchAll xmlns="b9b8280f-533f-4ab1-999e-21e84614c560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BCC2CA2-8D80-4F51-93AC-DFA4BB3753C3}"/>
</file>

<file path=customXml/itemProps2.xml><?xml version="1.0" encoding="utf-8"?>
<ds:datastoreItem xmlns:ds="http://schemas.openxmlformats.org/officeDocument/2006/customXml" ds:itemID="{6B5E18F8-371D-4F69-88C8-BF466F3B93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01FB39-DE61-451F-AA60-929C944A0AC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a28d2e1-924e-4715-9bdb-0bef845c549c"/>
    <ds:schemaRef ds:uri="b9b8280f-533f-4ab1-999e-21e84614c56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Degree of Curve</vt:lpstr>
      <vt:lpstr>Radius</vt:lpstr>
      <vt:lpstr>Equations-Chord</vt:lpstr>
      <vt:lpstr>Equation-Arc</vt:lpstr>
      <vt:lpstr>Equations for Spirals</vt:lpstr>
    </vt:vector>
  </TitlesOfParts>
  <Manager/>
  <Company>Missouri Department of Transportation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Vollet</dc:creator>
  <cp:keywords/>
  <dc:description/>
  <cp:lastModifiedBy>Kevin Vollet</cp:lastModifiedBy>
  <cp:revision/>
  <dcterms:created xsi:type="dcterms:W3CDTF">2022-04-04T18:01:28Z</dcterms:created>
  <dcterms:modified xsi:type="dcterms:W3CDTF">2024-12-18T22:10:18Z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0x010100EE27370A15C5A542BBF370C0FA5C4FB4</vt:lpwstr>
  </property>
  <property fmtid="{D5CDD505-2E9C-101B-9397-08002B2CF9AE}" pid="3" name="MediaServiceImageTags">
    <vt:lpwstr/>
  </property>
</Properties>
</file>